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b3dAy4orzGb+SEVYffQi6Ls58/2RQq3yzWHVXC4u4tQoiKS2wUCztWho+hYOzf91c7iAGKUm0VD3QfMoAuHCIQ==" workbookSaltValue="k5CvPi5s1ucFHco/Ir91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C11" i="6" s="1"/>
  <c r="I11" i="12"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AY18" i="8" s="1"/>
  <c r="BB15" i="8"/>
  <c r="BE15" i="8" s="1"/>
  <c r="BA15" i="8"/>
  <c r="AZ15" i="8"/>
  <c r="BD15" i="8" s="1"/>
  <c r="H15" i="7" s="1"/>
  <c r="AY15" i="8"/>
  <c r="BB12" i="8"/>
  <c r="BA12" i="8"/>
  <c r="AZ12" i="8"/>
  <c r="AY12" i="8"/>
  <c r="AY13" i="8" s="1"/>
  <c r="BB11" i="8"/>
  <c r="BE11" i="8" s="1"/>
  <c r="BA11" i="8"/>
  <c r="AZ11" i="8"/>
  <c r="BD11" i="8" s="1"/>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N10" i="11"/>
  <c r="N9" i="11"/>
  <c r="T10" i="21"/>
  <c r="F10" i="10"/>
  <c r="D11" i="2"/>
  <c r="N11" i="11"/>
  <c r="ES19" i="8"/>
  <c r="C18" i="7"/>
  <c r="S19" i="13"/>
  <c r="AG19" i="19"/>
  <c r="F9" i="11"/>
  <c r="R8" i="9"/>
  <c r="X12" i="21" s="1"/>
  <c r="CI19" i="8"/>
  <c r="AE19" i="8"/>
  <c r="F17" i="16"/>
  <c r="BL17" i="16" s="1"/>
  <c r="EP19" i="8"/>
  <c r="ER19" i="13"/>
  <c r="AL13" i="16"/>
  <c r="V15" i="11"/>
  <c r="BH17" i="16"/>
  <c r="BG10" i="11"/>
  <c r="BM16" i="11"/>
  <c r="P17" i="17"/>
  <c r="BL17" i="11"/>
  <c r="BK12" i="11"/>
  <c r="BF10" i="11"/>
  <c r="BK9" i="11"/>
  <c r="R12" i="14"/>
  <c r="S13" i="16"/>
  <c r="V12" i="21"/>
  <c r="H18" i="16"/>
  <c r="P13" i="16"/>
  <c r="AN13" i="20"/>
  <c r="F15" i="17"/>
  <c r="Z13" i="17"/>
  <c r="F17" i="17"/>
  <c r="AQ17" i="17" s="1"/>
  <c r="F9" i="2"/>
  <c r="M13" i="2"/>
  <c r="N13" i="2"/>
  <c r="AL11" i="11"/>
  <c r="AO9" i="11"/>
  <c r="E11" i="6"/>
  <c r="AC10" i="11"/>
  <c r="H13" i="12"/>
  <c r="T13" i="12"/>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H10" i="16"/>
  <c r="BK16" i="11"/>
  <c r="Q15" i="17"/>
  <c r="BH11" i="11"/>
  <c r="BM17" i="11"/>
  <c r="BG16" i="11"/>
  <c r="BF15" i="11"/>
  <c r="S17" i="17"/>
  <c r="BH16" i="11"/>
  <c r="BM9" i="11"/>
  <c r="AQ12" i="21"/>
  <c r="BH12" i="16"/>
  <c r="BJ16" i="11"/>
  <c r="BK10" i="11"/>
  <c r="BL16" i="11"/>
  <c r="BF15" i="8"/>
  <c r="AZ18" i="13"/>
  <c r="BD12" i="8"/>
  <c r="H12" i="7" s="1"/>
  <c r="BG15" i="8"/>
  <c r="BD9" i="8"/>
  <c r="BE9" i="8"/>
  <c r="BA13"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G13" i="14"/>
  <c r="U10" i="11"/>
  <c r="BI17" i="16" l="1"/>
  <c r="E18" i="2"/>
  <c r="AO17" i="11"/>
  <c r="AJ19" i="8"/>
  <c r="L16" i="14"/>
  <c r="F16" i="17"/>
  <c r="BG16" i="8"/>
  <c r="K16" i="7" s="1"/>
  <c r="AW18" i="21"/>
  <c r="G16" i="3"/>
  <c r="AB19" i="8"/>
  <c r="BE12" i="8"/>
  <c r="BG12" i="8"/>
  <c r="Z19" i="8"/>
  <c r="B12" i="6"/>
  <c r="L12" i="14"/>
  <c r="B17" i="6"/>
  <c r="C17" i="6"/>
  <c r="AO16" i="11"/>
  <c r="AL10" i="11"/>
  <c r="H12" i="2"/>
  <c r="I11" i="7"/>
  <c r="AO12" i="17"/>
  <c r="AO12" i="11"/>
  <c r="H15" i="2"/>
  <c r="E15" i="6"/>
  <c r="B16" i="6"/>
  <c r="BL10" i="11"/>
  <c r="BL15" i="11"/>
  <c r="BF12" i="11"/>
  <c r="P15" i="17"/>
  <c r="S15" i="16"/>
  <c r="X17" i="17"/>
  <c r="T15" i="11"/>
  <c r="R10" i="14"/>
  <c r="AZ12" i="11"/>
  <c r="AZ16" i="11"/>
  <c r="BV9" i="16"/>
  <c r="BU16" i="17"/>
  <c r="BU17" i="17"/>
  <c r="BV10" i="16"/>
  <c r="BU9" i="17"/>
  <c r="BW15" i="20"/>
  <c r="BV15" i="16"/>
  <c r="BW16" i="20"/>
  <c r="BV16" i="16"/>
  <c r="BW17" i="20"/>
  <c r="BW9" i="20"/>
  <c r="BU15" i="17"/>
  <c r="T15" i="16"/>
  <c r="T17" i="16"/>
  <c r="BM15" i="11"/>
  <c r="BH17" i="11"/>
  <c r="BL11" i="11"/>
  <c r="BG9" i="11"/>
  <c r="BI17" i="11"/>
  <c r="R10" i="21"/>
  <c r="R13" i="21" s="1"/>
  <c r="R19" i="21" s="1"/>
  <c r="BJ11" i="11"/>
  <c r="BI15" i="11"/>
  <c r="S9" i="14"/>
  <c r="V9" i="14" s="1"/>
  <c r="Q10" i="21"/>
  <c r="BI10" i="11"/>
  <c r="V11" i="11"/>
  <c r="S9" i="17"/>
  <c r="BK15" i="11"/>
  <c r="X11" i="17"/>
  <c r="BL12" i="11"/>
  <c r="S17" i="16"/>
  <c r="BF16" i="11"/>
  <c r="BF17" i="11"/>
  <c r="V11" i="16"/>
  <c r="Q17" i="20"/>
  <c r="Q18" i="20" s="1"/>
  <c r="BH15" i="16"/>
  <c r="BH15" i="11"/>
  <c r="BJ17" i="11"/>
  <c r="BH9" i="16"/>
  <c r="F15" i="11"/>
  <c r="AQ15" i="11" s="1"/>
  <c r="AY13" i="13"/>
  <c r="BE9" i="13"/>
  <c r="BB13" i="13"/>
  <c r="D12" i="12"/>
  <c r="L11" i="14"/>
  <c r="F12" i="11"/>
  <c r="AQ12" i="11" s="1"/>
  <c r="AP16" i="20"/>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V20" i="21"/>
  <c r="U17" i="11"/>
  <c r="O10" i="11"/>
  <c r="BR20" i="16"/>
  <c r="AU20" i="17"/>
  <c r="BP20" i="16"/>
  <c r="O17" i="11"/>
  <c r="AW20" i="11"/>
  <c r="H20" i="17"/>
  <c r="AX20" i="21"/>
  <c r="B18" i="6" l="1"/>
  <c r="I12" i="12"/>
  <c r="Y13" i="11"/>
  <c r="C18" i="6"/>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C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<sst xmlns="http://schemas.openxmlformats.org/spreadsheetml/2006/main" count="2102" uniqueCount="918">
  <si>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</si>
  <si>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</si>
  <si>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</si>
  <si>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</si>
  <si>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</si>
  <si>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</si>
  <si>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</si>
  <si>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</si>
  <si>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</si>
  <si>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</si>
  <si>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</si>
  <si>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</si>
  <si>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</si>
  <si>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</si>
  <si>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</si>
  <si>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</si>
  <si>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</si>
  <si>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</si>
  <si>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</si>
  <si>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</si>
  <si>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</si>
  <si>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</si>
  <si>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</si>
  <si>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</si>
  <si>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</si>
  <si>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</si>
  <si>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</si>
  <si>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</si>
  <si>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</si>
  <si>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</si>
  <si>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</si>
  <si>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</si>
  <si>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</si>
  <si>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</si>
  <si>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</si>
  <si>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</si>
  <si>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</si>
  <si>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</si>
  <si>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</si>
  <si>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</si>
  <si>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</si>
  <si>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</si>
  <si>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</si>
  <si>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</si>
  <si>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</si>
  <si>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</si>
  <si>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</si>
  <si>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</si>
  <si>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</si>
  <si>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</si>
  <si>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</si>
  <si>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</si>
  <si>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</si>
  <si>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</si>
  <si>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</si>
  <si>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</si>
  <si>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</si>
  <si>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</si>
  <si>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</si>
  <si>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</si>
  <si>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</si>
  <si>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</si>
  <si>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</si>
  <si>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</si>
  <si>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</si>
  <si>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</si>
  <si>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</si>
  <si>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</si>
  <si>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</si>
  <si>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</si>
  <si>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</si>
  <si>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</si>
  <si>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</si>
  <si>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</si>
  <si>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</si>
  <si>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</si>
  <si>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</si>
  <si>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</si>
  <si>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</si>
  <si>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</si>
  <si>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</si>
  <si>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</si>
  <si>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</si>
  <si>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</si>
  <si>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</si>
  <si>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</si>
  <si>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</si>
  <si>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</si>
  <si>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</si>
  <si>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</si>
  <si>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</si>
  <si>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</si>
  <si>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</si>
  <si>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</si>
  <si>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</si>
  <si>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</si>
  <si>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</si>
  <si>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</si>
  <si>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</si>
  <si>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</si>
  <si>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</si>
  <si>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</si>
  <si>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</si>
  <si>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</si>
  <si>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</si>
  <si>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</si>
  <si>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</si>
  <si>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</si>
  <si>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</si>
  <si>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</si>
  <si>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</si>
  <si>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</si>
  <si>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</si>
  <si>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</si>
  <si>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</si>
  <si>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</si>
  <si>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</si>
  <si>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</si>
  <si>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</si>
  <si>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</si>
  <si>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</si>
  <si>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</si>
  <si>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</si>
  <si>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</si>
  <si>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</si>
  <si>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</si>
  <si>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</si>
  <si>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</si>
  <si>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</si>
  <si>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</si>
  <si>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</si>
  <si>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</si>
  <si>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</si>
  <si>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</si>
  <si>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</si>
  <si>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</si>
  <si>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</si>
  <si>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</si>
  <si>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</si>
  <si>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</si>
  <si>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</si>
  <si>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</si>
  <si>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</si>
  <si>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</si>
  <si>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</si>
  <si>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</si>
  <si>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</si>
  <si>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</si>
  <si>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</si>
  <si>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</si>
  <si>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</si>
  <si>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</si>
  <si>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</si>
  <si>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</si>
  <si>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</si>
  <si>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</si>
  <si>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</si>
  <si>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</si>
  <si>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</si>
  <si>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</si>
  <si>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</si>
  <si>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</si>
  <si>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</si>
  <si>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</si>
  <si>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</si>
  <si>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</si>
  <si>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</si>
  <si>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</si>
  <si>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</si>
  <si>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</si>
  <si>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</si>
  <si>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</si>
  <si>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</si>
  <si>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</si>
  <si>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</si>
  <si>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</si>
  <si>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</si>
  <si>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</si>
  <si>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</si>
  <si>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</si>
  <si>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</si>
  <si>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</si>
  <si>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</si>
  <si>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</si>
  <si>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</si>
  <si>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</si>
  <si>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</si>
  <si>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</si>
  <si>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</si>
  <si>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</si>
  <si>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</si>
  <si>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</si>
  <si>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</si>
  <si>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</si>
  <si>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</si>
  <si>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</si>
  <si>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</si>
  <si>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</si>
  <si>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</si>
  <si>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</si>
  <si>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</si>
  <si>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</si>
  <si>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</si>
  <si>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</si>
  <si>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</si>
  <si>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</si>
  <si>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</si>
  <si>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</si>
  <si>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</si>
  <si>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</si>
  <si>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</si>
  <si>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</si>
  <si>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</si>
  <si>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</si>
  <si>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</si>
  <si>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</si>
  <si>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</si>
  <si>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</si>
  <si>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</si>
  <si>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</si>
  <si>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</si>
  <si>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</si>
  <si>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</si>
  <si>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</si>
  <si>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</si>
  <si>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</si>
  <si>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</si>
  <si>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</si>
  <si>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</si>
  <si>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</si>
  <si>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</si>
  <si>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</si>
  <si>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</si>
  <si>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</si>
  <si>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</si>
  <si>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</si>
  <si>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</si>
  <si>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</si>
  <si>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</si>
  <si>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</si>
  <si>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</si>
  <si>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</si>
  <si>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</si>
  <si>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</si>
  <si>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</si>
  <si>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</si>
  <si>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</si>
  <si>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</si>
  <si>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</si>
  <si>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</si>
  <si>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</si>
  <si>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</si>
  <si>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</si>
  <si>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</si>
  <si>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</si>
  <si>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</si>
  <si>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</si>
  <si>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</si>
  <si>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</si>
  <si>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</si>
  <si>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</si>
  <si>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</si>
  <si>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</si>
  <si>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</si>
  <si>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</si>
  <si>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</si>
  <si>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</si>
  <si>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</si>
  <si>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</si>
  <si>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</si>
  <si>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</si>
  <si>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</si>
  <si>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</si>
  <si>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</si>
  <si>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</si>
  <si>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</si>
  <si>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</si>
  <si>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</si>
  <si>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</si>
  <si>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</si>
  <si>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</si>
  <si>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</si>
  <si>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</si>
  <si>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</si>
  <si>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</si>
  <si>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</si>
  <si>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</si>
  <si>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</si>
  <si>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</si>
  <si>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</si>
  <si>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</si>
  <si>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</si>
  <si>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</si>
  <si>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</si>
  <si>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</si>
  <si>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</si>
  <si>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</si>
  <si>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</si>
  <si>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</si>
  <si>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</si>
  <si>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</si>
  <si>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</si>
  <si>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</si>
  <si>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</si>
  <si>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</si>
  <si>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</si>
  <si>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</si>
  <si>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</si>
  <si>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</si>
  <si>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</si>
  <si>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</si>
  <si>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</si>
  <si>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</si>
  <si>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</si>
  <si>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</si>
  <si>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</si>
  <si>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</si>
  <si>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</si>
  <si>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</si>
  <si>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</si>
  <si>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</si>
  <si>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</si>
  <si>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</si>
  <si>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</si>
  <si>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</si>
  <si>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</si>
  <si>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</si>
  <si>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</si>
  <si>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</si>
  <si>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</si>
  <si>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</si>
  <si>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</si>
  <si>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</si>
  <si>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</si>
  <si>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</si>
  <si>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</si>
  <si>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</si>
  <si>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</si>
  <si>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</si>
  <si>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</si>
  <si>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</si>
  <si>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</si>
  <si>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</si>
  <si>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</si>
  <si>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</si>
  <si>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</si>
  <si>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</si>
  <si>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</si>
  <si>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</si>
  <si>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</si>
  <si>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</si>
  <si>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</si>
  <si>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</si>
  <si>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</si>
  <si>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</si>
  <si>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</si>
  <si>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</si>
  <si>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</si>
  <si>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</si>
  <si>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</si>
  <si>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</si>
  <si>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</si>
  <si>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</si>
  <si>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</si>
  <si>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</si>
  <si>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</si>
  <si>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</si>
  <si>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</si>
  <si>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</si>
  <si>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</si>
  <si>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</si>
  <si>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</si>
  <si>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</si>
  <si>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</si>
  <si>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</si>
  <si>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</si>
  <si>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</si>
  <si>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</si>
  <si>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</si>
  <si>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</si>
  <si>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</si>
  <si>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</si>
  <si>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</si>
  <si>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</si>
  <si>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</si>
  <si>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</si>
  <si>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</si>
  <si>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</si>
  <si>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</si>
  <si>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</si>
  <si>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</si>
  <si>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</si>
  <si>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</si>
  <si>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</si>
  <si>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</si>
  <si>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</si>
  <si>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</si>
  <si>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</si>
  <si>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</si>
  <si>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</si>
  <si>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</si>
  <si>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</si>
  <si>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</si>
  <si>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</si>
  <si>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</si>
  <si>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</si>
  <si>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</si>
  <si>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</si>
  <si>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</si>
  <si>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</si>
  <si>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</si>
  <si>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</si>
  <si>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</si>
  <si>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</si>
  <si>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</si>
  <si>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</si>
  <si>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</si>
  <si>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</si>
  <si>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</si>
  <si>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</si>
  <si>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</si>
  <si>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</si>
  <si>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</si>
  <si>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</si>
  <si>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</si>
  <si>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</si>
  <si>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</si>
  <si>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</si>
  <si>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</si>
  <si>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</si>
  <si>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</si>
  <si>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</si>
  <si>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</si>
  <si>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</si>
  <si>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</si>
  <si>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</si>
  <si>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</si>
  <si>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</si>
  <si>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</si>
  <si>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</si>
  <si>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</si>
  <si>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</si>
  <si>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</si>
  <si>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</si>
  <si>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</si>
  <si>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</si>
  <si>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</si>
  <si>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</si>
  <si>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</si>
  <si>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</si>
  <si>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</si>
  <si>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</si>
  <si>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</si>
  <si>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</si>
  <si>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</si>
  <si>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</si>
  <si>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</si>
  <si>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</si>
  <si>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</si>
  <si>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</si>
  <si>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</si>
  <si>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</si>
  <si>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</si>
  <si>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</si>
  <si>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</si>
  <si>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</si>
  <si>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</si>
  <si>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</si>
  <si>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</si>
  <si>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</si>
  <si>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</si>
  <si>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</si>
  <si>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</si>
  <si>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</si>
  <si>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</si>
  <si>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</si>
  <si>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</si>
  <si>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</si>
  <si>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</si>
  <si>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</si>
  <si>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</si>
  <si>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</si>
  <si>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</si>
  <si>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</si>
  <si>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</si>
  <si>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</si>
  <si>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</si>
  <si>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</si>
  <si>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</si>
  <si>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</si>
  <si>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</si>
  <si>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</si>
  <si>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</si>
  <si>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</si>
  <si>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</si>
  <si>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</si>
  <si>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</si>
  <si>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</si>
  <si>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</si>
  <si>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</si>
  <si>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</si>
  <si>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</si>
  <si>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</si>
  <si>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</si>
  <si>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</si>
  <si>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</si>
  <si>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</si>
  <si>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</si>
  <si>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</si>
  <si>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</si>
  <si>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</si>
  <si>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</si>
  <si>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</si>
  <si>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</si>
  <si>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</si>
  <si>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</si>
  <si>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</si>
  <si>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</si>
  <si>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</si>
  <si>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</si>
  <si>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</si>
  <si>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</si>
  <si>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</si>
  <si>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</si>
  <si>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</si>
  <si>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</si>
  <si>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</si>
  <si>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</si>
  <si>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</si>
  <si>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</si>
  <si>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</si>
  <si>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</si>
  <si>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</si>
  <si>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</si>
  <si>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</si>
  <si>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</si>
  <si>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</si>
  <si>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</si>
  <si>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</si>
  <si>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</si>
  <si>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</si>
  <si>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</si>
  <si>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</si>
  <si>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</si>
  <si>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</si>
  <si>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</si>
  <si>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</si>
  <si>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</si>
  <si>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</si>
  <si>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</si>
  <si>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</si>
  <si>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</si>
  <si>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</si>
  <si>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</si>
  <si>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</si>
  <si>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</si>
  <si>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</si>
  <si>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</si>
  <si>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</si>
  <si>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</si>
  <si>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</si>
  <si>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</si>
  <si>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</si>
  <si>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</si>
  <si>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</si>
  <si>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</si>
  <si>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</si>
  <si>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</si>
  <si>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</si>
  <si>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</si>
  <si>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</si>
  <si>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</si>
  <si>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</si>
  <si>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</si>
  <si>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</si>
  <si>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</si>
  <si>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</si>
  <si>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</si>
  <si>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</si>
  <si>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</si>
  <si>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</si>
  <si>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</si>
  <si>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</si>
  <si>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</si>
  <si>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</si>
  <si>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</si>
  <si>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</si>
  <si>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</si>
  <si>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</si>
  <si>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</si>
  <si>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</si>
  <si>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</si>
  <si>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</si>
  <si>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</si>
  <si>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</si>
  <si>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</si>
  <si>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</si>
  <si>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</si>
  <si>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</si>
  <si>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</si>
  <si>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</si>
  <si>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</si>
  <si>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</si>
  <si>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</si>
  <si>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</si>
  <si>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</si>
  <si>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</si>
  <si>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</si>
  <si>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</si>
  <si>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</si>
  <si>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</si>
  <si>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</si>
  <si>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</si>
  <si>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</si>
  <si>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</si>
  <si>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</si>
  <si>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</si>
  <si>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</si>
  <si>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</si>
  <si>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</si>
  <si>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</si>
  <si>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</si>
  <si>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</si>
  <si>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</si>
  <si>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</si>
  <si>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</si>
  <si>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</si>
  <si>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</si>
  <si>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</si>
  <si>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</si>
  <si>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</si>
  <si>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</si>
  <si>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</si>
  <si>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</si>
  <si>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</si>
  <si>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</si>
  <si>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</si>
  <si>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</si>
  <si>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</si>
  <si>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</si>
  <si>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</si>
  <si>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</si>
  <si>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</si>
  <si>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</si>
  <si>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</si>
  <si>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</si>
  <si>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</si>
  <si>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</si>
  <si>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</si>
  <si>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</si>
  <si>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</si>
  <si>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</si>
  <si>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</si>
  <si>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</si>
  <si>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</si>
  <si>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</si>
  <si>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</si>
  <si>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</si>
  <si>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</si>
  <si>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</si>
  <si>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</si>
  <si>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</si>
  <si>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</si>
  <si>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</si>
  <si>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</si>
  <si>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</si>
  <si>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</si>
  <si>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</si>
  <si>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</si>
  <si>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</si>
  <si>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</si>
  <si>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</si>
  <si>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</si>
  <si>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</si>
  <si>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</si>
  <si>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</si>
  <si>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</si>
  <si>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</si>
  <si>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</si>
  <si>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</si>
  <si>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</si>
  <si>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</si>
  <si>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</si>
  <si>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</si>
  <si>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</si>
  <si>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</si>
  <si>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</si>
  <si>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</si>
  <si>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</si>
  <si>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</si>
  <si>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</si>
  <si>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</si>
  <si>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</si>
  <si>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</si>
  <si>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</si>
  <si>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</si>
  <si>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</si>
  <si>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</si>
  <si>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</si>
  <si>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</si>
  <si>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</si>
  <si>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</si>
  <si>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</si>
  <si>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</si>
  <si>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</si>
  <si>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</si>
  <si>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</si>
  <si>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</si>
  <si>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</si>
  <si>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</si>
  <si>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</si>
  <si>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</si>
  <si>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</si>
  <si>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</si>
  <si>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</si>
  <si>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</si>
  <si>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</si>
  <si>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</si>
  <si>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</si>
  <si>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</si>
  <si>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</si>
  <si>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</si>
  <si>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</si>
  <si>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</si>
  <si>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</si>
  <si>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</si>
  <si>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</si>
  <si>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</si>
  <si>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</si>
  <si>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</si>
  <si>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</si>
  <si>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</si>
  <si>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</si>
  <si>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</si>
  <si>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</si>
  <si>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</si>
  <si>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</si>
  <si>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</si>
  <si>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</si>
  <si>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</si>
  <si>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</si>
  <si>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</si>
  <si>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</si>
  <si>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</si>
  <si>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</si>
  <si>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</si>
  <si>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</si>
  <si>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</si>
  <si>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</si>
  <si>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</si>
  <si>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</si>
  <si>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</si>
  <si>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</si>
  <si>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</si>
  <si>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</si>
  <si>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</si>
  <si>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</si>
  <si>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</si>
  <si>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</si>
  <si>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</si>
  <si>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</si>
  <si>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</si>
  <si>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</si>
  <si>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</si>
  <si>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</si>
  <si>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</si>
  <si>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</si>
  <si>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</si>
  <si>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</si>
  <si>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</si>
  <si>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</si>
  <si>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</si>
  <si>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</si>
  <si>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</si>
  <si>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</si>
  <si>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</si>
  <si>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</si>
  <si>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</si>
  <si>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</si>
  <si>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</si>
  <si>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</si>
  <si>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</si>
  <si>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</si>
  <si>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</si>
  <si>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</si>
  <si>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</si>
  <si>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</si>
  <si>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</si>
  <si>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</si>
  <si>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</si>
  <si>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</si>
  <si>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</si>
  <si>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</si>
  <si>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</si>
  <si>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</si>
  <si>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</si>
  <si>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</si>
  <si>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</si>
  <si>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</si>
  <si>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</si>
  <si>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</si>
  <si>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</si>
  <si>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</si>
  <si>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</si>
  <si>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</si>
  <si>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</si>
  <si>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</si>
  <si>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</si>
  <si>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</si>
  <si>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</si>
  <si>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</si>
  <si>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</si>
  <si>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</si>
  <si>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</si>
  <si>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</si>
  <si>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</si>
  <si>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</si>
  <si>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</si>
  <si>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</si>
  <si>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</si>
  <si>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</si>
  <si>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</si>
  <si>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</si>
  <si>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</si>
  <si>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</si>
  <si>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</si>
  <si>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</si>
  <si>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</si>
  <si>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</si>
  <si>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</si>
  <si>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</si>
  <si>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</si>
  <si>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</si>
  <si>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</si>
  <si>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</si>
  <si>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</si>
  <si>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</si>
  <si>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</si>
  <si>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</si>
  <si>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</si>
  <si>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</si>
  <si>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</si>
  <si>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</si>
  <si>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</si>
  <si>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</si>
  <si>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</si>
  <si>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</si>
  <si>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</si>
  <si>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</si>
  <si>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</si>
  <si>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</si>
  <si>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</si>
  <si>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</si>
  <si>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</si>
  <si>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</si>
  <si>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</si>
  <si>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</si>
  <si>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</si>
  <si>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</si>
  <si>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</si>
  <si>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</si>
  <si>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</si>
  <si>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</si>
  <si>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</si>
  <si>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</si>
  <si>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</si>
  <si>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</si>
  <si>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</si>
  <si>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</si>
  <si>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</si>
  <si>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</si>
  <si>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</si>
  <si>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</si>
  <si>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</si>
  <si>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</si>
  <si>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</si>
  <si>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</si>
  <si>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</si>
  <si>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</si>
  <si>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</si>
  <si>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</si>
  <si>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</si>
  <si>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</si>
  <si>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</si>
  <si>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</si>
  <si>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</si>
  <si>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</si>
  <si>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</si>
  <si>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</si>
  <si>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</si>
  <si>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</si>
  <si>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</si>
  <si>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</si>
  <si>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</si>
  <si>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</si>
  <si>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</si>
  <si>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</si>
  <si>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</si>
  <si>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</si>
  <si>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</si>
  <si>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</si>
  <si>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</si>
  <si>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</si>
  <si>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</si>
  <si>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</si>
  <si>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</si>
  <si>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</si>
  <si>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</si>
  <si>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</si>
  <si>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</si>
  <si>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</si>
  <si>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</si>
  <si>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</si>
  <si>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PAIS VASCO</t>
  </si>
  <si>
    <t>Provincias</t>
  </si>
  <si>
    <t>BIZKAIA</t>
  </si>
  <si>
    <t>Resumenes por Partidos Judiciales</t>
  </si>
  <si>
    <t>BALMASEDA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</si>
</sst>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pj2fEzO8rbps56PVHkFsb3w8Ag7Rl5H22fo7ur/CUgTQey3OeO9zNmfA28GuMH/j54VDDYgMA93crOe3Ynfxg==" saltValue="AgoDYdNZOYsnhrFqKjmQ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3</v>
      </c>
      <c r="F10" s="225">
        <f>IF(ISNUMBER(Datos!K10),Datos!K10," - ")</f>
        <v>3</v>
      </c>
      <c r="G10" s="1033" t="str">
        <f>IF(Datos!E10&lt;&gt;"",Datos!E10,Datos!D10)</f>
        <v>37</v>
      </c>
      <c r="H10" s="226">
        <f>IF(ISNUMBER(Datos!L10),Datos!L10," - ")</f>
        <v>6</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22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6.2826718296224584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3</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814</v>
      </c>
      <c r="D16" s="224">
        <f>IF(ISNUMBER(IF(D_I="SI",Datos!I16,Datos!I16+Datos!AC16)),IF(D_I="SI",Datos!I16,Datos!I16+Datos!AC16)," - ")</f>
        <v>809</v>
      </c>
      <c r="E16" s="225">
        <f>IF(ISNUMBER(IF(D_I="SI",Datos!J16,Datos!J16+Datos!AD16)),IF(D_I="SI",Datos!J16,Datos!J16+Datos!AD16)," - ")</f>
        <v>738</v>
      </c>
      <c r="F16" s="225">
        <f>IF(ISNUMBER(IF(D_I="SI",Datos!K16,Datos!K16+Datos!AE16)),IF(D_I="SI",Datos!K16,Datos!K16+Datos!AE16)," - ")</f>
        <v>777</v>
      </c>
      <c r="G16" s="1033" t="str">
        <f>IF(Datos!E16&lt;&gt;"",Datos!E16,Datos!D16)</f>
        <v>04</v>
      </c>
      <c r="H16" s="226">
        <f>IF(ISNUMBER(IF(D_I="SI",Datos!L16,Datos!L16+Datos!AF16)),IF(D_I="SI",Datos!L16,Datos!L16+Datos!AF16)," - ")</f>
        <v>775</v>
      </c>
      <c r="I16" s="1043" t="str">
        <f>IF(ISNUMBER(Datos!AS16/Datos!BM16),Datos!AS16/Datos!BM16," - ")</f>
        <v xml:space="preserve"> - </v>
      </c>
      <c r="J16" s="1044">
        <f>IF(ISNUMBER(Datos!BY16/Datos!CN16),Datos!BY16/Datos!CN16," - ")</f>
        <v>0</v>
      </c>
      <c r="K16" s="229">
        <f t="shared" si="3"/>
        <v>-4.7911547911547912E-2</v>
      </c>
      <c r="L16" s="1024">
        <f>IF(ISNUMBER(NºAsuntos!I16/NºAsuntos!G16),(NºAsuntos!I16/NºAsuntos!G16)*11," - ")</f>
        <v>10.971685971685972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100</v>
      </c>
      <c r="D17" s="224">
        <f>IF(ISNUMBER(IF(D_I="SI",Datos!I17,Datos!I17+Datos!AC17)),IF(D_I="SI",Datos!I17,Datos!I17+Datos!AC17)," - ")</f>
        <v>100</v>
      </c>
      <c r="E17" s="225">
        <f>IF(ISNUMBER(IF(D_I="SI",Datos!J17,Datos!J17+Datos!AD17)),IF(D_I="SI",Datos!J17,Datos!J17+Datos!AD17)," - ")</f>
        <v>97</v>
      </c>
      <c r="F17" s="225">
        <f>IF(ISNUMBER(IF(D_I="SI",Datos!K17,Datos!K17+Datos!AE17)),IF(D_I="SI",Datos!K17,Datos!K17+Datos!AE17)," - ")</f>
        <v>137</v>
      </c>
      <c r="G17" s="1033" t="str">
        <f>IF(Datos!E17&lt;&gt;"",Datos!E17,Datos!D17)</f>
        <v>37</v>
      </c>
      <c r="H17" s="226">
        <f>IF(ISNUMBER(IF(D_I="SI",Datos!L17,Datos!L17+Datos!AF17)),IF(D_I="SI",Datos!L17,Datos!L17+Datos!AF17)," - ")</f>
        <v>60</v>
      </c>
      <c r="I17" s="1043" t="str">
        <f>IF(ISNUMBER(Datos!AS17/Datos!BM17),Datos!AS17/Datos!BM17," - ")</f>
        <v xml:space="preserve"> - </v>
      </c>
      <c r="J17" s="1044" t="str">
        <f>IF(ISNUMBER((Datos!BY17+Datos!BZ17)/Datos!CN17),(Datos!BY17+Datos!BZ17)/Datos!CN17," - ")</f>
        <v xml:space="preserve"> - </v>
      </c>
      <c r="K17" s="229">
        <f t="shared" si="3"/>
        <v>-0.4</v>
      </c>
      <c r="L17" s="1024">
        <f>IF(ISNUMBER(NºAsuntos!I17/NºAsuntos!G17),(NºAsuntos!I17/NºAsuntos!G17)*11," - ")</f>
        <v>4.8175182481751824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914</v>
      </c>
      <c r="D18" s="1048">
        <f>SUBTOTAL(9,D15:D17)</f>
        <v>909</v>
      </c>
      <c r="E18" s="1049">
        <f>SUBTOTAL(9,E15:E17)</f>
        <v>835</v>
      </c>
      <c r="F18" s="1049">
        <f>SUBTOTAL(9,F15:F17)</f>
        <v>914</v>
      </c>
      <c r="G18" s="1051" t="str">
        <f ca="1">INDIRECT(CONCATENATE("G",ROW()-1))</f>
        <v>37</v>
      </c>
      <c r="H18" s="1052">
        <f ca="1">SUMIF(G$14:G17,G18,H$14:H17)</f>
        <v>60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920</v>
      </c>
      <c r="D19" s="1070">
        <f>SUBTOTAL(9,D9:D18)</f>
        <v>915</v>
      </c>
      <c r="E19" s="1071">
        <f>SUBTOTAL(9,E9:E18)</f>
        <v>838</v>
      </c>
      <c r="F19" s="1071">
        <f>SUBTOTAL(9,F9:F18)</f>
        <v>917</v>
      </c>
      <c r="G19" s="1072"/>
      <c r="H19" s="1073">
        <f ca="1">SUMIF(B9:B18,"TOTAL",H9:H18)</f>
        <v>60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9gCjvqBc7/AA8+sRZubttgD7+/mVgJPRfjyVnMU4oE8+DPF6yz1zLCBJiJnycRMjotIWtHPmxe4dJoeP6nWqsA==" saltValue="J2dQBFzppPLCIyNMSumsh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M3MpJYEIyBoByI4pUVNWJIIQmVA7B4UQxC5T8cE0uYnrehZlzIYEVBYaKJlyZcM2ihXS9keEI0SLmx1V41pAg==" saltValue="NQ+VxEMgB9X/mVhPfW6Y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3</v>
      </c>
      <c r="K10" s="180">
        <v>3</v>
      </c>
      <c r="L10" s="180">
        <v>6</v>
      </c>
      <c r="M10" s="180">
        <v>2</v>
      </c>
      <c r="N10" s="180">
        <v>1</v>
      </c>
      <c r="O10" s="180">
        <v>0</v>
      </c>
      <c r="P10" s="180">
        <v>0</v>
      </c>
      <c r="Q10" s="180">
        <v>0</v>
      </c>
      <c r="R10" s="180">
        <v>4</v>
      </c>
      <c r="S10" s="180">
        <v>6</v>
      </c>
      <c r="T10" s="180">
        <v>4</v>
      </c>
      <c r="U10" s="180">
        <v>4</v>
      </c>
      <c r="V10" s="180">
        <v>6</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v>
      </c>
      <c r="AZ10" s="129">
        <f t="shared" si="0"/>
        <v>4</v>
      </c>
      <c r="BA10" s="129">
        <f t="shared" si="0"/>
        <v>4</v>
      </c>
      <c r="BB10" s="129">
        <f t="shared" si="0"/>
        <v>6</v>
      </c>
      <c r="BC10" s="125">
        <f t="shared" si="0"/>
        <v>3</v>
      </c>
      <c r="BD10" s="126">
        <f>IF(ISNUMBER(BA10/AZ10),BA10/AZ10," - ")</f>
        <v>1</v>
      </c>
      <c r="BE10" s="127">
        <f>IF(ISNUMBER(BB10/BA10),BB10/BA10, " - ")</f>
        <v>1.5</v>
      </c>
      <c r="BF10" s="127">
        <f>IF(ISNUMBER(BC10/BA10),BC10/BA10, " - ")</f>
        <v>0.75</v>
      </c>
      <c r="BG10" s="195">
        <f>IF(ISNUMBER((AY10+AZ10)/BA10),(AY10+AZ10)/BA10," - ")</f>
        <v>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631</v>
      </c>
      <c r="J12" s="182">
        <v>778</v>
      </c>
      <c r="K12" s="182">
        <v>849</v>
      </c>
      <c r="L12" s="182">
        <v>560</v>
      </c>
      <c r="M12" s="182">
        <v>290</v>
      </c>
      <c r="N12" s="182">
        <v>446</v>
      </c>
      <c r="O12" s="180">
        <v>404</v>
      </c>
      <c r="P12" s="182">
        <v>212</v>
      </c>
      <c r="Q12" s="182">
        <v>182</v>
      </c>
      <c r="R12" s="182">
        <v>616</v>
      </c>
      <c r="S12" s="182">
        <v>556</v>
      </c>
      <c r="T12" s="182">
        <v>880</v>
      </c>
      <c r="U12" s="182">
        <v>805</v>
      </c>
      <c r="V12" s="182">
        <v>631</v>
      </c>
      <c r="W12" s="182">
        <v>208</v>
      </c>
      <c r="X12" s="188">
        <v>387</v>
      </c>
      <c r="Y12" s="190">
        <v>13</v>
      </c>
      <c r="Z12" s="180">
        <v>201</v>
      </c>
      <c r="AA12" s="180">
        <v>184</v>
      </c>
      <c r="AB12" s="180">
        <v>30</v>
      </c>
      <c r="AC12" s="182">
        <v>0</v>
      </c>
      <c r="AD12" s="182">
        <v>0</v>
      </c>
      <c r="AE12" s="182">
        <v>0</v>
      </c>
      <c r="AF12" s="188">
        <v>0</v>
      </c>
      <c r="AG12" s="201">
        <v>28</v>
      </c>
      <c r="AH12" s="182">
        <v>112</v>
      </c>
      <c r="AI12" s="182">
        <v>127</v>
      </c>
      <c r="AJ12" s="202">
        <v>13</v>
      </c>
      <c r="AK12" s="181">
        <v>0</v>
      </c>
      <c r="AL12" s="182">
        <v>0</v>
      </c>
      <c r="AM12" s="182">
        <v>0</v>
      </c>
      <c r="AN12" s="188">
        <v>0</v>
      </c>
      <c r="AO12" s="258">
        <v>2</v>
      </c>
      <c r="AP12" s="154">
        <v>2</v>
      </c>
      <c r="AQ12" s="154">
        <v>2</v>
      </c>
      <c r="AR12" s="153">
        <v>2</v>
      </c>
      <c r="AS12" s="339" t="s">
        <v>794</v>
      </c>
      <c r="AT12" s="202"/>
      <c r="AU12" s="201"/>
      <c r="AV12" s="202"/>
      <c r="AW12" s="201"/>
      <c r="AX12" s="202"/>
      <c r="AY12" s="126">
        <f t="shared" si="1"/>
        <v>584</v>
      </c>
      <c r="AZ12" s="127">
        <f t="shared" si="1"/>
        <v>992</v>
      </c>
      <c r="BA12" s="127">
        <f t="shared" si="1"/>
        <v>932</v>
      </c>
      <c r="BB12" s="127">
        <f t="shared" si="1"/>
        <v>644</v>
      </c>
      <c r="BC12" s="125">
        <f>IF(ISNUMBER(X12),X12," - ")</f>
        <v>387</v>
      </c>
      <c r="BD12" s="126">
        <f t="shared" si="2"/>
        <v>0.93951612903225812</v>
      </c>
      <c r="BE12" s="127">
        <f t="shared" si="3"/>
        <v>0.69098712446351929</v>
      </c>
      <c r="BF12" s="127">
        <f t="shared" si="4"/>
        <v>0.41523605150214593</v>
      </c>
      <c r="BG12" s="195">
        <f t="shared" si="5"/>
        <v>1.6909871244635193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637</v>
      </c>
      <c r="J13" s="183">
        <f t="shared" si="6"/>
        <v>781</v>
      </c>
      <c r="K13" s="183">
        <f t="shared" si="6"/>
        <v>852</v>
      </c>
      <c r="L13" s="183">
        <f t="shared" si="6"/>
        <v>566</v>
      </c>
      <c r="M13" s="183">
        <f t="shared" si="6"/>
        <v>292</v>
      </c>
      <c r="N13" s="183">
        <f t="shared" si="6"/>
        <v>447</v>
      </c>
      <c r="O13" s="183">
        <f t="shared" si="6"/>
        <v>404</v>
      </c>
      <c r="P13" s="183">
        <f t="shared" si="6"/>
        <v>212</v>
      </c>
      <c r="Q13" s="183">
        <f t="shared" si="6"/>
        <v>182</v>
      </c>
      <c r="R13" s="183">
        <f t="shared" si="6"/>
        <v>620</v>
      </c>
      <c r="S13" s="183">
        <f t="shared" si="6"/>
        <v>562</v>
      </c>
      <c r="T13" s="183">
        <f t="shared" si="6"/>
        <v>884</v>
      </c>
      <c r="U13" s="183">
        <f t="shared" si="6"/>
        <v>809</v>
      </c>
      <c r="V13" s="183">
        <f t="shared" si="6"/>
        <v>637</v>
      </c>
      <c r="W13" s="183">
        <f t="shared" si="6"/>
        <v>211</v>
      </c>
      <c r="X13" s="183">
        <f t="shared" si="6"/>
        <v>387</v>
      </c>
      <c r="Y13" s="183">
        <f t="shared" si="6"/>
        <v>13</v>
      </c>
      <c r="Z13" s="183">
        <f t="shared" si="6"/>
        <v>201</v>
      </c>
      <c r="AA13" s="183">
        <f t="shared" si="6"/>
        <v>184</v>
      </c>
      <c r="AB13" s="183">
        <f t="shared" si="6"/>
        <v>30</v>
      </c>
      <c r="AC13" s="183">
        <f t="shared" si="6"/>
        <v>0</v>
      </c>
      <c r="AD13" s="183">
        <f t="shared" si="6"/>
        <v>0</v>
      </c>
      <c r="AE13" s="183">
        <f t="shared" si="6"/>
        <v>0</v>
      </c>
      <c r="AF13" s="183">
        <f>SUBTOTAL(9,AF9:AF12)</f>
        <v>0</v>
      </c>
      <c r="AG13" s="183">
        <f t="shared" ref="AG13:AT13" si="7">SUBTOTAL(9,AG8:AG12)</f>
        <v>28</v>
      </c>
      <c r="AH13" s="183">
        <f t="shared" si="7"/>
        <v>112</v>
      </c>
      <c r="AI13" s="183">
        <f t="shared" si="7"/>
        <v>127</v>
      </c>
      <c r="AJ13" s="183">
        <f t="shared" si="7"/>
        <v>13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590</v>
      </c>
      <c r="AZ13" s="183">
        <f>SUBTOTAL(9,AZ8:AZ12)</f>
        <v>996</v>
      </c>
      <c r="BA13" s="183">
        <f>SUBTOTAL(9,BA8:BA12)</f>
        <v>936</v>
      </c>
      <c r="BB13" s="183">
        <f>SUBTOTAL(9,BB8:BB12)</f>
        <v>650</v>
      </c>
      <c r="BC13" s="183">
        <f>SUBTOTAL(9,BC8:BC12)</f>
        <v>390</v>
      </c>
      <c r="BD13" s="204">
        <f>IF(ISNUMBER(BA13/AZ13),BA13/AZ13," - ")</f>
        <v>0.93975903614457834</v>
      </c>
      <c r="BE13" s="205">
        <f>IF(ISNUMBER(BB13/BA13),BB13/BA13, " - ")</f>
        <v>0.69444444444444442</v>
      </c>
      <c r="BF13" s="205">
        <f>IF(ISNUMBER(BC13/BA13),BC13/BA13, " - ")</f>
        <v>0.41666666666666669</v>
      </c>
      <c r="BG13" s="206">
        <f>IF(ISNUMBER((AY13+AZ13)/BA13),(AY13+AZ13)/BA13," - ")</f>
        <v>1.6944444444444444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809</v>
      </c>
      <c r="J16" s="182">
        <v>738</v>
      </c>
      <c r="K16" s="182">
        <v>777</v>
      </c>
      <c r="L16" s="182">
        <v>775</v>
      </c>
      <c r="M16" s="182">
        <v>129</v>
      </c>
      <c r="N16" s="182">
        <v>370</v>
      </c>
      <c r="O16" s="180">
        <v>1</v>
      </c>
      <c r="P16" s="182">
        <v>28</v>
      </c>
      <c r="Q16" s="182">
        <v>30</v>
      </c>
      <c r="R16" s="182">
        <v>63</v>
      </c>
      <c r="S16" s="182">
        <v>751</v>
      </c>
      <c r="T16" s="182">
        <v>885</v>
      </c>
      <c r="U16" s="182">
        <v>831</v>
      </c>
      <c r="V16" s="182">
        <v>809</v>
      </c>
      <c r="W16" s="182">
        <v>107</v>
      </c>
      <c r="X16" s="188">
        <v>482</v>
      </c>
      <c r="Y16" s="201">
        <v>0</v>
      </c>
      <c r="Z16" s="182">
        <v>0</v>
      </c>
      <c r="AA16" s="182">
        <v>0</v>
      </c>
      <c r="AB16" s="182">
        <v>0</v>
      </c>
      <c r="AC16" s="182">
        <v>0</v>
      </c>
      <c r="AD16" s="182">
        <v>9</v>
      </c>
      <c r="AE16" s="182">
        <v>9</v>
      </c>
      <c r="AF16" s="188">
        <v>0</v>
      </c>
      <c r="AG16" s="201">
        <v>0</v>
      </c>
      <c r="AH16" s="182">
        <v>0</v>
      </c>
      <c r="AI16" s="182">
        <v>0</v>
      </c>
      <c r="AJ16" s="202">
        <v>0</v>
      </c>
      <c r="AK16" s="181">
        <v>0</v>
      </c>
      <c r="AL16" s="182">
        <v>14</v>
      </c>
      <c r="AM16" s="182">
        <v>14</v>
      </c>
      <c r="AN16" s="188">
        <v>0</v>
      </c>
      <c r="AO16" s="258">
        <v>2</v>
      </c>
      <c r="AP16" s="154">
        <v>2</v>
      </c>
      <c r="AQ16" s="154">
        <v>2</v>
      </c>
      <c r="AR16" s="154">
        <v>2</v>
      </c>
      <c r="AS16" s="339" t="s">
        <v>487</v>
      </c>
      <c r="AT16" s="202"/>
      <c r="AU16" s="201"/>
      <c r="AV16" s="202"/>
      <c r="AW16" s="201"/>
      <c r="AX16" s="202"/>
      <c r="AY16" s="126">
        <f t="shared" si="9"/>
        <v>751</v>
      </c>
      <c r="AZ16" s="127">
        <f t="shared" si="9"/>
        <v>885</v>
      </c>
      <c r="BA16" s="127">
        <f t="shared" si="9"/>
        <v>831</v>
      </c>
      <c r="BB16" s="127">
        <f t="shared" si="9"/>
        <v>809</v>
      </c>
      <c r="BC16" s="125">
        <f>IF(ISNUMBER(W16),W16," - ")</f>
        <v>107</v>
      </c>
      <c r="BD16" s="126">
        <f t="shared" ref="BD16" si="11">IF(ISNUMBER(BA16/AZ16),BA16/AZ16," - ")</f>
        <v>0.93898305084745759</v>
      </c>
      <c r="BE16" s="127">
        <f t="shared" ref="BE16" si="12">IF(ISNUMBER(BB16/BA16),BB16/BA16, " - ")</f>
        <v>0.97352587244283995</v>
      </c>
      <c r="BF16" s="127">
        <f t="shared" ref="BF16" si="13">IF(ISNUMBER(BC16/BA16),BC16/BA16, " - ")</f>
        <v>0.12876052948255115</v>
      </c>
      <c r="BG16" s="195">
        <f t="shared" si="10"/>
        <v>1.9687123947051746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100</v>
      </c>
      <c r="J17" s="182">
        <v>97</v>
      </c>
      <c r="K17" s="182">
        <v>137</v>
      </c>
      <c r="L17" s="182">
        <v>60</v>
      </c>
      <c r="M17" s="182">
        <v>9</v>
      </c>
      <c r="N17" s="182">
        <v>60</v>
      </c>
      <c r="O17" s="182">
        <v>0</v>
      </c>
      <c r="P17" s="182">
        <v>1</v>
      </c>
      <c r="Q17" s="182">
        <v>1</v>
      </c>
      <c r="R17" s="182">
        <v>0</v>
      </c>
      <c r="S17" s="182">
        <v>94</v>
      </c>
      <c r="T17" s="182">
        <v>135</v>
      </c>
      <c r="U17" s="182">
        <v>129</v>
      </c>
      <c r="V17" s="182">
        <v>100</v>
      </c>
      <c r="W17" s="182">
        <v>15</v>
      </c>
      <c r="X17" s="188">
        <v>63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94</v>
      </c>
      <c r="AZ17" s="129">
        <f t="shared" si="14"/>
        <v>135</v>
      </c>
      <c r="BA17" s="129">
        <f t="shared" si="14"/>
        <v>129</v>
      </c>
      <c r="BB17" s="129">
        <f t="shared" si="14"/>
        <v>100</v>
      </c>
      <c r="BC17" s="125">
        <f>IF(ISNUMBER(W17),W17," - ")</f>
        <v>15</v>
      </c>
      <c r="BD17" s="126">
        <f>IF(ISNUMBER(BA17/AZ17),BA17/AZ17," - ")</f>
        <v>0.9555555555555556</v>
      </c>
      <c r="BE17" s="127">
        <f>IF(ISNUMBER(BB17/BA17),BB17/BA17, " - ")</f>
        <v>0.77519379844961245</v>
      </c>
      <c r="BF17" s="127">
        <f>IF(ISNUMBER(BC17/BA17),BC17/BA17, " - ")</f>
        <v>0.11627906976744186</v>
      </c>
      <c r="BG17" s="195">
        <f>IF(ISNUMBER((AY17+AZ17)/BA17),(AY17+AZ17)/BA17," - ")</f>
        <v>1.7751937984496124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909</v>
      </c>
      <c r="J18" s="183">
        <f t="shared" si="15"/>
        <v>835</v>
      </c>
      <c r="K18" s="183">
        <f t="shared" si="15"/>
        <v>914</v>
      </c>
      <c r="L18" s="183">
        <f t="shared" si="15"/>
        <v>835</v>
      </c>
      <c r="M18" s="183">
        <f t="shared" si="15"/>
        <v>138</v>
      </c>
      <c r="N18" s="183">
        <f t="shared" si="15"/>
        <v>430</v>
      </c>
      <c r="O18" s="183">
        <f t="shared" si="15"/>
        <v>1</v>
      </c>
      <c r="P18" s="183">
        <f t="shared" si="15"/>
        <v>29</v>
      </c>
      <c r="Q18" s="183">
        <f t="shared" si="15"/>
        <v>31</v>
      </c>
      <c r="R18" s="183">
        <f t="shared" si="15"/>
        <v>63</v>
      </c>
      <c r="S18" s="183">
        <f t="shared" si="15"/>
        <v>845</v>
      </c>
      <c r="T18" s="183">
        <f t="shared" si="15"/>
        <v>1020</v>
      </c>
      <c r="U18" s="183">
        <f t="shared" si="15"/>
        <v>960</v>
      </c>
      <c r="V18" s="183">
        <f t="shared" si="15"/>
        <v>909</v>
      </c>
      <c r="W18" s="183">
        <f t="shared" si="15"/>
        <v>122</v>
      </c>
      <c r="X18" s="183">
        <f t="shared" si="15"/>
        <v>545</v>
      </c>
      <c r="Y18" s="183">
        <f t="shared" si="15"/>
        <v>0</v>
      </c>
      <c r="Z18" s="183">
        <f t="shared" si="15"/>
        <v>0</v>
      </c>
      <c r="AA18" s="183">
        <f t="shared" si="15"/>
        <v>0</v>
      </c>
      <c r="AB18" s="183">
        <f t="shared" si="15"/>
        <v>0</v>
      </c>
      <c r="AC18" s="183">
        <f t="shared" si="15"/>
        <v>0</v>
      </c>
      <c r="AD18" s="183">
        <f t="shared" si="15"/>
        <v>9</v>
      </c>
      <c r="AE18" s="183">
        <f t="shared" si="15"/>
        <v>9</v>
      </c>
      <c r="AF18" s="183">
        <f t="shared" si="15"/>
        <v>0</v>
      </c>
      <c r="AG18" s="183">
        <f t="shared" si="15"/>
        <v>0</v>
      </c>
      <c r="AH18" s="183">
        <f t="shared" si="15"/>
        <v>0</v>
      </c>
      <c r="AI18" s="183">
        <f t="shared" si="15"/>
        <v>0</v>
      </c>
      <c r="AJ18" s="183">
        <f t="shared" si="15"/>
        <v>0</v>
      </c>
      <c r="AK18" s="183">
        <f t="shared" si="15"/>
        <v>0</v>
      </c>
      <c r="AL18" s="183">
        <f t="shared" si="15"/>
        <v>14</v>
      </c>
      <c r="AM18" s="183">
        <f t="shared" si="15"/>
        <v>14</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845</v>
      </c>
      <c r="AZ18" s="183">
        <f>SUBTOTAL(9,AZ14:AZ17)</f>
        <v>1020</v>
      </c>
      <c r="BA18" s="183">
        <f>SUBTOTAL(9,BA14:BA17)</f>
        <v>960</v>
      </c>
      <c r="BB18" s="183">
        <f>SUBTOTAL(9,BB14:BB17)</f>
        <v>909</v>
      </c>
      <c r="BC18" s="183">
        <f>SUBTOTAL(9,BC14:BC17)</f>
        <v>122</v>
      </c>
      <c r="BD18" s="204">
        <f>IF(ISNUMBER(BA18/AZ18),BA18/AZ18," - ")</f>
        <v>0.94117647058823528</v>
      </c>
      <c r="BE18" s="205">
        <f>IF(ISNUMBER(BB18/BA18),BB18/BA18, " - ")</f>
        <v>0.94687500000000002</v>
      </c>
      <c r="BF18" s="205">
        <f>IF(ISNUMBER(BC18/BA18),BC18/BA18, " - ")</f>
        <v>0.12708333333333333</v>
      </c>
      <c r="BG18" s="206">
        <f>IF(ISNUMBER((AY18+AZ18)/BA18),(AY18+AZ18)/BA18," - ")</f>
        <v>1.9427083333333333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1546</v>
      </c>
      <c r="J19" s="134">
        <f t="shared" si="18"/>
        <v>1616</v>
      </c>
      <c r="K19" s="134">
        <f t="shared" si="18"/>
        <v>1766</v>
      </c>
      <c r="L19" s="134">
        <f t="shared" si="18"/>
        <v>1401</v>
      </c>
      <c r="M19" s="134">
        <f t="shared" si="18"/>
        <v>430</v>
      </c>
      <c r="N19" s="134">
        <f t="shared" si="18"/>
        <v>877</v>
      </c>
      <c r="O19" s="134">
        <f t="shared" si="18"/>
        <v>405</v>
      </c>
      <c r="P19" s="134">
        <f t="shared" si="18"/>
        <v>241</v>
      </c>
      <c r="Q19" s="134">
        <f t="shared" si="18"/>
        <v>213</v>
      </c>
      <c r="R19" s="134">
        <f t="shared" si="18"/>
        <v>683</v>
      </c>
      <c r="S19" s="134">
        <f t="shared" si="18"/>
        <v>1407</v>
      </c>
      <c r="T19" s="134">
        <f t="shared" si="18"/>
        <v>1904</v>
      </c>
      <c r="U19" s="134">
        <f t="shared" si="18"/>
        <v>1769</v>
      </c>
      <c r="V19" s="134">
        <f t="shared" si="18"/>
        <v>1546</v>
      </c>
      <c r="W19" s="134">
        <f t="shared" si="18"/>
        <v>333</v>
      </c>
      <c r="X19" s="134">
        <f t="shared" si="18"/>
        <v>932</v>
      </c>
      <c r="Y19" s="134">
        <f t="shared" si="18"/>
        <v>13</v>
      </c>
      <c r="Z19" s="134">
        <f t="shared" si="18"/>
        <v>201</v>
      </c>
      <c r="AA19" s="134">
        <f t="shared" si="18"/>
        <v>184</v>
      </c>
      <c r="AB19" s="134">
        <f t="shared" si="18"/>
        <v>30</v>
      </c>
      <c r="AC19" s="134">
        <f t="shared" si="18"/>
        <v>0</v>
      </c>
      <c r="AD19" s="134">
        <f t="shared" si="18"/>
        <v>9</v>
      </c>
      <c r="AE19" s="134">
        <f t="shared" si="18"/>
        <v>9</v>
      </c>
      <c r="AF19" s="134">
        <f t="shared" si="18"/>
        <v>0</v>
      </c>
      <c r="AG19" s="134">
        <f t="shared" si="18"/>
        <v>28</v>
      </c>
      <c r="AH19" s="134">
        <f t="shared" si="18"/>
        <v>112</v>
      </c>
      <c r="AI19" s="134">
        <f t="shared" si="18"/>
        <v>127</v>
      </c>
      <c r="AJ19" s="134">
        <f t="shared" si="18"/>
        <v>13</v>
      </c>
      <c r="AK19" s="134">
        <f t="shared" si="18"/>
        <v>0</v>
      </c>
      <c r="AL19" s="134">
        <f t="shared" si="18"/>
        <v>14</v>
      </c>
      <c r="AM19" s="134">
        <f t="shared" si="18"/>
        <v>14</v>
      </c>
      <c r="AN19" s="209">
        <f t="shared" si="18"/>
        <v>0</v>
      </c>
      <c r="AO19" s="210">
        <v>3</v>
      </c>
      <c r="AP19" s="210">
        <v>2</v>
      </c>
      <c r="AQ19" s="210">
        <v>2</v>
      </c>
      <c r="AR19" s="210">
        <v>2</v>
      </c>
      <c r="AS19" s="152">
        <f t="shared" si="18"/>
        <v>0</v>
      </c>
      <c r="AT19" s="152">
        <f t="shared" si="18"/>
        <v>0</v>
      </c>
      <c r="AU19" s="210"/>
      <c r="AV19" s="211"/>
      <c r="AW19" s="210"/>
      <c r="AX19" s="211"/>
      <c r="AY19" s="133">
        <f>SUBTOTAL(9,AY9:AY18)</f>
        <v>1435</v>
      </c>
      <c r="AZ19" s="134">
        <f>SUBTOTAL(9,AZ9:AZ18)</f>
        <v>2016</v>
      </c>
      <c r="BA19" s="134">
        <f>SUBTOTAL(9,BA9:BA18)</f>
        <v>1896</v>
      </c>
      <c r="BB19" s="134">
        <f>SUBTOTAL(9,BB9:BB18)</f>
        <v>1559</v>
      </c>
      <c r="BC19" s="135">
        <f>SUBTOTAL(9,BC9:BC18)</f>
        <v>512</v>
      </c>
      <c r="BD19" s="212">
        <f>IF(ISNUMBER(BA19/AZ19),BA19/AZ19," - ")</f>
        <v>0.94047619047619047</v>
      </c>
      <c r="BE19" s="209">
        <f>IF(ISNUMBER(BB19/BA19),BB19/BA19, " - ")</f>
        <v>0.8222573839662447</v>
      </c>
      <c r="BF19" s="209">
        <f>IF(ISNUMBER(BC19/BA19),BC19/BA19, " - ")</f>
        <v>0.27004219409282698</v>
      </c>
      <c r="BG19" s="135">
        <f>IF(ISNUMBER((AY19+AZ19)/BA19),(AY19+AZ19)/BA19," - ")</f>
        <v>1.8201476793248945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HCLC5oN0vK46rPLrEiM8ZTwmN2ilXqPrCwR1KZPxsl+yYaa/sd9uZXuWtc+43JzuTJLfx1iEW2Sax2+IkPTg==" saltValue="MLHtxtQ2ItJh1GiYzjbud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RCeh/zQ5Ay6/WQfXSTQ4Fts/4Mph6iN/FAEmiSPXJIqgJdPff4AP4YER1RMr5Et5bJaRwch9t6GrPkH/p0ZA==" saltValue="44ZS73h1+dTN/t3FLj8Ne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BALMASEDA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6</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1</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22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201</v>
      </c>
      <c r="O12" s="333"/>
      <c r="P12" s="333"/>
      <c r="Q12" s="225">
        <f>IF(ISNUMBER(Datos!P12),Datos!P12,0)</f>
        <v>212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30</v>
      </c>
      <c r="AI12" s="333" t="str">
        <f>IF(ISNUMBER(Datos!CD12),Datos!CD12,"-")</f>
        <v>-</v>
      </c>
      <c r="AJ12" s="333" t="str">
        <f>IF(ISNUMBER(Datos!EN12),Datos!EN12," - ")</f>
        <v xml:space="preserve"> - </v>
      </c>
      <c r="AK12" s="333"/>
      <c r="AL12" s="478"/>
      <c r="AM12" s="334">
        <f>IF(ISNUMBER(Datos!R12),Datos!R12," - ")</f>
        <v>616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290</v>
      </c>
      <c r="BD12" s="228">
        <f>IF(ISNUMBER(Datos!N12),Datos!N12," - ")</f>
        <v>446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1.0551583248212462</v>
      </c>
      <c r="BH12" s="259">
        <f>IF(ISNUMBER(((IF(J_V="SI",Datos!L12/Datos!K12,(Datos!L12+Datos!AB12)/(Datos!K12+Datos!AA12)))*11)/factor_trimestre),((IF(J_V="SI",Datos!L12/Datos!K12,(Datos!L12+Datos!AB12)/(Datos!K12+Datos!AA12)))*11)/factor_trimestre," - ")</f>
        <v>6.2826718296224584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5.1194539249146756E-2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201</v>
      </c>
      <c r="O13" s="899">
        <f t="shared" si="0"/>
        <v>0</v>
      </c>
      <c r="P13" s="899">
        <f t="shared" si="0"/>
        <v>0</v>
      </c>
      <c r="Q13" s="898">
        <f t="shared" si="0"/>
        <v>212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182</v>
      </c>
      <c r="AD13" s="898">
        <f t="shared" si="1"/>
        <v>0</v>
      </c>
      <c r="AE13" s="898">
        <f t="shared" si="1"/>
        <v>0</v>
      </c>
      <c r="AF13" s="898">
        <f t="shared" si="1"/>
        <v>6</v>
      </c>
      <c r="AG13" s="898">
        <f t="shared" si="1"/>
        <v>0</v>
      </c>
      <c r="AH13" s="898">
        <f t="shared" si="1"/>
        <v>30</v>
      </c>
      <c r="AI13" s="898">
        <f t="shared" si="1"/>
        <v>0</v>
      </c>
      <c r="AJ13" s="898">
        <f t="shared" si="1"/>
        <v>0</v>
      </c>
      <c r="AK13" s="898">
        <f t="shared" si="1"/>
        <v>0</v>
      </c>
      <c r="AL13" s="898">
        <f t="shared" si="1"/>
        <v>0</v>
      </c>
      <c r="AM13" s="898">
        <f t="shared" si="1"/>
        <v>620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292</v>
      </c>
      <c r="BD13" s="898">
        <f t="shared" si="1"/>
        <v>447</v>
      </c>
      <c r="BE13" s="898">
        <f t="shared" si="1"/>
        <v>0</v>
      </c>
      <c r="BF13" s="898">
        <f t="shared" si="1"/>
        <v>0</v>
      </c>
      <c r="BG13" s="898">
        <f>IF(ISNUMBER(Datos!K13/Datos!J13),Datos!K13/Datos!J13," - ")</f>
        <v>1.0909090909090908</v>
      </c>
      <c r="BH13" s="902">
        <f>IF(ISNUMBER(((Datos!L13/Datos!K13)*11)/factor_trimestre),((Datos!L13/Datos!K13)*11)/factor_trimestre," - ")</f>
        <v>7.307511737089202</v>
      </c>
      <c r="BI13" s="898">
        <f>IF(ISNUMBER('Resol  Asuntos'!D13/NºAsuntos!G13),'Resol  Asuntos'!D13/NºAsuntos!G13," - ")</f>
        <v>0.28185328185328185</v>
      </c>
      <c r="BJ13" s="898" t="str">
        <f>IF(ISNUMBER(Datos!CI13/Datos!CJ13),Datos!CI13/Datos!CJ13," - ")</f>
        <v xml:space="preserve"> - </v>
      </c>
      <c r="BK13" s="898">
        <f>SUBTOTAL(9,BK8:BK12)</f>
        <v>0</v>
      </c>
      <c r="BL13" s="898">
        <f>IF(ISNUMBER((I13-AB13+L13)/(F13)),(I13-AB13+L13)/(F13)," - ")</f>
        <v>-0.5</v>
      </c>
      <c r="BM13" s="903">
        <f>SUBTOTAL(9,BM9:BM12)</f>
        <v>5.1194539249146756E-2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814</v>
      </c>
      <c r="G16" s="597">
        <f>IF(ISNUMBER(IF(D_I="SI",Datos!I16,Datos!I16+Datos!AC16)),IF(D_I="SI",Datos!I16,Datos!I16+Datos!AC16)," - ")</f>
        <v>809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777</v>
      </c>
      <c r="AC16" s="225">
        <f>IF(ISNUMBER(Datos!Q16),Datos!Q16," - ")</f>
        <v>30</v>
      </c>
      <c r="AD16" s="333"/>
      <c r="AE16" s="483"/>
      <c r="AF16" s="595">
        <f>IF(ISNUMBER(IF(D_I="SI",Datos!L16,Datos!L16+Datos!AF16)),IF(D_I="SI",Datos!L16,Datos!L16+Datos!AF16)," - ")</f>
        <v>775</v>
      </c>
      <c r="AG16" s="333"/>
      <c r="AH16" s="333"/>
      <c r="AI16" s="333"/>
      <c r="AJ16" s="333"/>
      <c r="AK16" s="333"/>
      <c r="AL16" s="478"/>
      <c r="AM16" s="334">
        <f>IF(ISNUMBER(Datos!R16),Datos!R16," - ")</f>
        <v>63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129</v>
      </c>
      <c r="BD16" s="228">
        <f>IF(ISNUMBER(Datos!N16),Datos!N16," - ")</f>
        <v>370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1.0528455284552845</v>
      </c>
      <c r="BH16" s="259">
        <f>IF(ISNUMBER(((IF(D_I="SI",Datos!L16/Datos!K16,(Datos!L16+Datos!AF16)/(Datos!K16+Datos!AE16)))*11)/factor_trimestre),((IF(D_I="SI",Datos!L16/Datos!K16,(Datos!L16+Datos!AF16)/(Datos!K16+Datos!AE16)))*11)/factor_trimestre," - ")</f>
        <v>10.971685971685972</v>
      </c>
      <c r="BI16" s="242">
        <f>IF(ISNUMBER('Resol  Asuntos'!D16/NºAsuntos!G16),'Resol  Asuntos'!D16/NºAsuntos!G16," - ")</f>
        <v>0.16602316602316602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137</v>
      </c>
      <c r="AC17" s="225">
        <f>IF(ISNUMBER(Datos!Q17),Datos!Q17," - ")</f>
        <v>1</v>
      </c>
      <c r="AD17" s="333"/>
      <c r="AE17" s="483"/>
      <c r="AF17" s="331">
        <f>IF(ISNUMBER(Datos!L17),Datos!L17,"-")</f>
        <v>60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v>
      </c>
      <c r="BD17" s="228">
        <f>IF(ISNUMBER(Datos!N17),Datos!N17," - ")</f>
        <v>60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1.4123711340206186</v>
      </c>
      <c r="BH17" s="259">
        <f>IF(ISNUMBER(((IF(D_I="SI",Datos!L17/Datos!K17,(Datos!L17+Datos!AF17)/(Datos!K17+Datos!AE17)))*11)/factor_trimestre),((IF(D_I="SI",Datos!L17/Datos!K17,(Datos!L17+Datos!AF17)/(Datos!K17+Datos!AE17)))*11)/factor_trimestre," - ")</f>
        <v>4.8175182481751824</v>
      </c>
      <c r="BI17" s="242">
        <f>IF(ISNUMBER('Resol  Asuntos'!D17/NºAsuntos!G17),'Resol  Asuntos'!D17/NºAsuntos!G17," - ")</f>
        <v>6.569343065693431E-2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814</v>
      </c>
      <c r="G18" s="897">
        <f>SUBTOTAL(9,G15:G17)</f>
        <v>909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914</v>
      </c>
      <c r="AC18" s="898">
        <f t="shared" si="4"/>
        <v>31</v>
      </c>
      <c r="AD18" s="898">
        <f t="shared" si="4"/>
        <v>0</v>
      </c>
      <c r="AE18" s="898">
        <f t="shared" si="4"/>
        <v>0</v>
      </c>
      <c r="AF18" s="898">
        <f t="shared" si="4"/>
        <v>835</v>
      </c>
      <c r="AG18" s="898">
        <f t="shared" si="4"/>
        <v>0</v>
      </c>
      <c r="AH18" s="898">
        <f t="shared" si="4"/>
        <v>0</v>
      </c>
      <c r="AI18" s="898">
        <f t="shared" si="4"/>
        <v>0</v>
      </c>
      <c r="AJ18" s="898">
        <f t="shared" si="4"/>
        <v>0</v>
      </c>
      <c r="AK18" s="898">
        <f t="shared" si="4"/>
        <v>0</v>
      </c>
      <c r="AL18" s="898">
        <f t="shared" si="4"/>
        <v>0</v>
      </c>
      <c r="AM18" s="898">
        <f t="shared" si="4"/>
        <v>63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138</v>
      </c>
      <c r="BD18" s="898">
        <f t="shared" si="4"/>
        <v>430</v>
      </c>
      <c r="BE18" s="898">
        <f t="shared" si="4"/>
        <v>0</v>
      </c>
      <c r="BF18" s="898">
        <f t="shared" si="4"/>
        <v>0</v>
      </c>
      <c r="BG18" s="898">
        <f>IF(ISNUMBER(Datos!K18/Datos!J18),Datos!K18/Datos!J18," - ")</f>
        <v>1.0946107784431138</v>
      </c>
      <c r="BH18" s="902">
        <f>IF(ISNUMBER(((Datos!L18/Datos!K18)*11)/factor_trimestre),((Datos!L18/Datos!K18)*11)/factor_trimestre," - ")</f>
        <v>10.049234135667396</v>
      </c>
      <c r="BI18" s="898">
        <f>SUBTOTAL(9,BI15:BI17)</f>
        <v>0.23171659668010033</v>
      </c>
      <c r="BJ18" s="898">
        <f>SUBTOTAL(9,BJ15:BJ17)</f>
        <v>0</v>
      </c>
      <c r="BK18" s="898">
        <f>SUBTOTAL(9,BK15:BK17)</f>
        <v>0</v>
      </c>
      <c r="BL18" s="898">
        <f>IF(ISNUMBER((I18-AB18+L18)/(F18)),(I18-AB18+L18)/(F18)," - ")</f>
        <v>-1.1228501228501229</v>
      </c>
      <c r="BM18" s="904">
        <f>IF(ISNUMBER((Datos!P18-Datos!Q18)/(Datos!R18-Datos!P18+Datos!Q18)),(Datos!P18-Datos!Q18)/(Datos!R18-Datos!P18+Datos!Q18)," - ")</f>
        <v>-3.0769230769230771E-2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820</v>
      </c>
      <c r="G19" s="819">
        <f t="shared" si="6"/>
        <v>915</v>
      </c>
      <c r="H19" s="821">
        <f t="shared" si="6"/>
        <v>0</v>
      </c>
      <c r="I19" s="819">
        <f t="shared" si="6"/>
        <v>0</v>
      </c>
      <c r="J19" s="821">
        <f t="shared" si="6"/>
        <v>0</v>
      </c>
      <c r="K19" s="821">
        <f t="shared" si="6"/>
        <v>0</v>
      </c>
      <c r="L19" s="880">
        <f t="shared" si="6"/>
        <v>0</v>
      </c>
      <c r="M19" s="880">
        <f t="shared" si="6"/>
        <v>0</v>
      </c>
      <c r="N19" s="880">
        <f t="shared" si="6"/>
        <v>201</v>
      </c>
      <c r="O19" s="880">
        <f t="shared" si="6"/>
        <v>0</v>
      </c>
      <c r="P19" s="880">
        <f t="shared" si="6"/>
        <v>0</v>
      </c>
      <c r="Q19" s="821">
        <f t="shared" si="6"/>
        <v>241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917</v>
      </c>
      <c r="AC19" s="820">
        <f t="shared" si="7"/>
        <v>213</v>
      </c>
      <c r="AD19" s="820">
        <f t="shared" si="7"/>
        <v>0</v>
      </c>
      <c r="AE19" s="820">
        <f t="shared" si="7"/>
        <v>0</v>
      </c>
      <c r="AF19" s="827">
        <f t="shared" si="7"/>
        <v>841</v>
      </c>
      <c r="AG19" s="827">
        <f t="shared" si="7"/>
        <v>0</v>
      </c>
      <c r="AH19" s="827">
        <f t="shared" si="7"/>
        <v>30</v>
      </c>
      <c r="AI19" s="827">
        <f t="shared" si="7"/>
        <v>0</v>
      </c>
      <c r="AJ19" s="820">
        <f t="shared" si="7"/>
        <v>0</v>
      </c>
      <c r="AK19" s="827">
        <f t="shared" si="7"/>
        <v>0</v>
      </c>
      <c r="AL19" s="827">
        <f t="shared" si="7"/>
        <v>0</v>
      </c>
      <c r="AM19" s="827">
        <f t="shared" si="7"/>
        <v>683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430</v>
      </c>
      <c r="BD19" s="819">
        <f t="shared" si="7"/>
        <v>877</v>
      </c>
      <c r="BE19" s="819">
        <f t="shared" si="7"/>
        <v>0</v>
      </c>
      <c r="BF19" s="829">
        <f t="shared" si="7"/>
        <v>0</v>
      </c>
      <c r="BG19" s="914">
        <f>IF(ISNUMBER(Datos!K19/Datos!J19),Datos!K19/Datos!J19," - ")</f>
        <v>1.0928217821782178</v>
      </c>
      <c r="BH19" s="914">
        <f>IF(ISNUMBER(((Datos!L19/Datos!K19)*11)/factor_trimestre),((Datos!L19/Datos!K19)*11)/factor_trimestre," - ")</f>
        <v>8.7265005662514152</v>
      </c>
      <c r="BI19" s="812">
        <f>IF(ISNUMBER(Datos!J19/Datos!I19),Datos!J19/Datos!I19," - ")</f>
        <v>1.0452781371280724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-1.1182926829268294</v>
      </c>
      <c r="BM19" s="888">
        <f>IF(ISNUMBER((Datos!P19-Datos!Q19+R19)/(Datos!R19-Datos!P19+Datos!Q19-R19)),(Datos!P19-Datos!Q19+R19)/(Datos!R19-Datos!P19+Datos!Q19-R19)," - ")</f>
        <v>4.2748091603053436E-2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366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466.49901750521764</v>
      </c>
      <c r="G21" s="551">
        <f>IF(ISNUMBER(STDEV(G8:G18)),STDEV(G8:G18),"-")</f>
        <v>453.06015053191339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443.05778404176584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127.95884755133842</v>
      </c>
      <c r="BD21" s="550"/>
      <c r="BE21" s="550">
        <f>IF(ISNUMBER(STDEV(BE8:BE18)),STDEV(BE8:BE18),"-")</f>
        <v>0</v>
      </c>
      <c r="BF21" s="555">
        <f>IF(ISNUMBER(STDEV(BF8:BF18)),STDEV(BF8:BF18),"-")</f>
        <v>0</v>
      </c>
      <c r="BG21" s="774">
        <f>IF(ISNUMBER(STDEV(BG8:BG18)),STDEV(BG8:BG18),"-")</f>
        <v>0.14835954993311537</v>
      </c>
      <c r="BH21" s="775">
        <f>IF(ISNUMBER(STDEV(BH8:BH18)),STDEV(BH8:BH18),"-")</f>
        <v>6.2053618171453513</v>
      </c>
      <c r="BI21" s="248">
        <f>IF(ISNUMBER(STDEV(BI8:BI18)),STDEV(BI8:BI18),"-")</f>
        <v>9.3363428997069967E-2</v>
      </c>
      <c r="BJ21" s="229" t="str">
        <f>IF(ISNUMBER(BL21/BM21),BL21/BM21," - ")</f>
        <v xml:space="preserve"> - </v>
      </c>
      <c r="BK21" s="574"/>
      <c r="BL21" s="558">
        <f>IF(ISNUMBER(STDEV(BL8:BL18)),STDEV(BL8:BL18),"-")</f>
        <v>0.44042154553019591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pTuh08ieX6pmeg9/E3v8afn9tk4ynQ65dlEsVUKKniLBqIFR4h4R3/f8hXmKBwn8n3qsmq+Lt4ueLFEoOQ5zEw==" saltValue="IQl0eXM+jlqo3KoBkBEB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BIZKAIA  Resumenes por Partidos Judiciales  BALMASEDA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6</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182</v>
      </c>
      <c r="AA12" s="331" t="str">
        <f>IF(ISNUMBER(IF(J_V="SI",Datos!L12,Datos!L12+Datos!AB12)-IF(Monitorios="SI",Datos!CD12,0)),
                          IF(J_V="SI",Datos!L12,Datos!L12+Datos!AB12)-IF(Monitorios="SI",Datos!CD12,0),
                          " - ")</f>
        <v xml:space="preserve"> - </v>
      </c>
      <c r="AB12" s="333"/>
      <c r="AC12" s="333"/>
      <c r="AD12" s="483"/>
      <c r="AE12" s="483">
        <f>IF(ISNUMBER(Datos!R12),Datos!R12," - ")</f>
        <v>616</v>
      </c>
      <c r="AF12" s="228" t="str">
        <f>IF(ISNUMBER(Datos!BV12),Datos!BV12," - ")</f>
        <v xml:space="preserve"> - </v>
      </c>
      <c r="AG12" s="224" t="str">
        <f>IF(ISNUMBER(Datos!DV12),Datos!DV12," - ")</f>
        <v xml:space="preserve"> - </v>
      </c>
      <c r="AH12" s="297"/>
      <c r="AI12" s="226"/>
      <c r="AJ12" s="224">
        <f>IF(ISNUMBER(Datos!M12),Datos!M12," - ")</f>
        <v>290</v>
      </c>
      <c r="AK12" s="228">
        <f>IF(ISNUMBER(Datos!N12),Datos!N12," - ")</f>
        <v>446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6.2826718296224584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5.1194539249146756E-2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212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182</v>
      </c>
      <c r="AA13" s="899">
        <f t="shared" si="2"/>
        <v>6</v>
      </c>
      <c r="AB13" s="899">
        <f t="shared" si="2"/>
        <v>0</v>
      </c>
      <c r="AC13" s="899">
        <f t="shared" si="2"/>
        <v>0</v>
      </c>
      <c r="AD13" s="899">
        <f t="shared" si="2"/>
        <v>0</v>
      </c>
      <c r="AE13" s="899">
        <f t="shared" si="2"/>
        <v>620</v>
      </c>
      <c r="AF13" s="907">
        <f t="shared" si="2"/>
        <v>0</v>
      </c>
      <c r="AG13" s="907">
        <f t="shared" si="2"/>
        <v>0</v>
      </c>
      <c r="AH13" s="907">
        <f t="shared" si="2"/>
        <v>0</v>
      </c>
      <c r="AI13" s="907">
        <f t="shared" si="2"/>
        <v>0</v>
      </c>
      <c r="AJ13" s="907">
        <f t="shared" si="2"/>
        <v>292</v>
      </c>
      <c r="AK13" s="907">
        <f t="shared" si="2"/>
        <v>447</v>
      </c>
      <c r="AL13" s="907">
        <f t="shared" si="2"/>
        <v>0</v>
      </c>
      <c r="AM13" s="907">
        <f t="shared" si="2"/>
        <v>0</v>
      </c>
      <c r="AN13" s="907">
        <f t="shared" si="2"/>
        <v>0</v>
      </c>
      <c r="AO13" s="903">
        <f>IF(ISNUMBER(((NºAsuntos!I13/NºAsuntos!G13)*11)/factor_trimestre),((NºAsuntos!I13/NºAsuntos!G13)*11)/factor_trimestre," - ")</f>
        <v>6.3281853281853273</v>
      </c>
      <c r="AP13" s="909" t="str">
        <f>IF(ISNUMBER(Datos!CI13/Datos!CJ13),Datos!CI13/Datos!CJ13," - ")</f>
        <v xml:space="preserve"> - </v>
      </c>
      <c r="AQ13" s="927">
        <f t="shared" ref="AQ13:AV13" si="3">SUBTOTAL(9,AQ9:AQ12)</f>
        <v>0</v>
      </c>
      <c r="AR13" s="927">
        <f t="shared" si="3"/>
        <v>5.1194539249146756E-2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814</v>
      </c>
      <c r="G16" s="224">
        <f>IF(ISNUMBER(IF(D_I="SI",Datos!I16,Datos!I16+Datos!AC16)),IF(D_I="SI",Datos!I16,Datos!I16+Datos!AC16)," - ")</f>
        <v>809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777</v>
      </c>
      <c r="Z16" s="618">
        <f>IF(ISNUMBER(Datos!Q16),Datos!Q16," - ")</f>
        <v>30</v>
      </c>
      <c r="AA16" s="331">
        <f>IF(ISNUMBER(IF(D_I="SI",Datos!L16,Datos!L16+Datos!AF16)),IF(D_I="SI",Datos!L16,Datos!L16+Datos!AF16)," - ")</f>
        <v>775</v>
      </c>
      <c r="AB16" s="333"/>
      <c r="AC16" s="333"/>
      <c r="AD16" s="483"/>
      <c r="AE16" s="483">
        <f>IF(ISNUMBER(Datos!R16),Datos!R16," - ")</f>
        <v>63</v>
      </c>
      <c r="AF16" s="228" t="str">
        <f>IF(ISNUMBER(Datos!BV16),Datos!BV16," - ")</f>
        <v xml:space="preserve"> - </v>
      </c>
      <c r="AG16" s="224"/>
      <c r="AH16" s="297"/>
      <c r="AI16" s="226"/>
      <c r="AJ16" s="224">
        <f>IF(ISNUMBER(Datos!M16),Datos!M16," - ")</f>
        <v>129</v>
      </c>
      <c r="AK16" s="228">
        <f>IF(ISNUMBER(Datos!N16),Datos!N16," - ")</f>
        <v>370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10.971685971685972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137</v>
      </c>
      <c r="Z17" s="618">
        <f>IF(ISNUMBER(Datos!Q17),Datos!Q17," - ")</f>
        <v>1</v>
      </c>
      <c r="AA17" s="331">
        <f>IF(ISNUMBER(Datos!L17),Datos!L17,"-")</f>
        <v>60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9</v>
      </c>
      <c r="AK17" s="228">
        <f>IF(ISNUMBER(Datos!N17),Datos!N17," - ")</f>
        <v>60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4.8175182481751824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814</v>
      </c>
      <c r="G18" s="897">
        <f>SUBTOTAL(9,G15:G17)</f>
        <v>909</v>
      </c>
      <c r="H18" s="931">
        <f>SUBTOTAL(9,H15:H17)</f>
        <v>0</v>
      </c>
      <c r="I18" s="910">
        <f>SUBTOTAL(9,I15:I17)</f>
        <v>0</v>
      </c>
      <c r="J18" s="866">
        <f>SUBTOTAL(9,J14:J17)</f>
        <v>0</v>
      </c>
      <c r="K18" s="931">
        <f t="shared" ref="K18:S18" si="4">SUBTOTAL(9,K15:K17)</f>
        <v>0</v>
      </c>
      <c r="L18" s="931">
        <f t="shared" si="4"/>
        <v>0</v>
      </c>
      <c r="M18" s="931">
        <f t="shared" si="4"/>
        <v>0</v>
      </c>
      <c r="N18" s="931">
        <f t="shared" si="4"/>
        <v>29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914</v>
      </c>
      <c r="Z18" s="931">
        <f t="shared" si="5"/>
        <v>31</v>
      </c>
      <c r="AA18" s="931">
        <f t="shared" si="5"/>
        <v>835</v>
      </c>
      <c r="AB18" s="931">
        <f t="shared" si="5"/>
        <v>0</v>
      </c>
      <c r="AC18" s="931">
        <f t="shared" si="5"/>
        <v>0</v>
      </c>
      <c r="AD18" s="931">
        <f t="shared" si="5"/>
        <v>0</v>
      </c>
      <c r="AE18" s="931">
        <f t="shared" si="5"/>
        <v>63</v>
      </c>
      <c r="AF18" s="931">
        <f t="shared" si="5"/>
        <v>0</v>
      </c>
      <c r="AG18" s="931">
        <f t="shared" si="5"/>
        <v>0</v>
      </c>
      <c r="AH18" s="931">
        <f t="shared" si="5"/>
        <v>0</v>
      </c>
      <c r="AI18" s="931">
        <f t="shared" si="5"/>
        <v>0</v>
      </c>
      <c r="AJ18" s="931">
        <f t="shared" si="5"/>
        <v>138</v>
      </c>
      <c r="AK18" s="931">
        <f t="shared" si="5"/>
        <v>430</v>
      </c>
      <c r="AL18" s="931">
        <f t="shared" si="5"/>
        <v>0</v>
      </c>
      <c r="AM18" s="931">
        <f t="shared" si="5"/>
        <v>0</v>
      </c>
      <c r="AN18" s="931">
        <f t="shared" si="5"/>
        <v>0</v>
      </c>
      <c r="AO18" s="933">
        <f>IF(ISNUMBER(((NºAsuntos!I18/NºAsuntos!G18)*11)/factor_trimestre),((NºAsuntos!I18/NºAsuntos!G18)*11)/factor_trimestre," - ")</f>
        <v>10.049234135667396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820</v>
      </c>
      <c r="G19" s="819">
        <f t="shared" si="7"/>
        <v>915</v>
      </c>
      <c r="H19" s="820">
        <f t="shared" si="7"/>
        <v>0</v>
      </c>
      <c r="I19" s="819">
        <f t="shared" si="7"/>
        <v>0</v>
      </c>
      <c r="J19" s="821">
        <f t="shared" si="7"/>
        <v>0</v>
      </c>
      <c r="K19" s="819">
        <f t="shared" si="7"/>
        <v>0</v>
      </c>
      <c r="L19" s="822">
        <f t="shared" si="7"/>
        <v>0</v>
      </c>
      <c r="M19" s="819">
        <f t="shared" si="7"/>
        <v>0</v>
      </c>
      <c r="N19" s="820">
        <f t="shared" si="7"/>
        <v>241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917</v>
      </c>
      <c r="Z19" s="826">
        <f t="shared" si="8"/>
        <v>213</v>
      </c>
      <c r="AA19" s="827">
        <f t="shared" si="8"/>
        <v>841</v>
      </c>
      <c r="AB19" s="827">
        <f t="shared" si="8"/>
        <v>0</v>
      </c>
      <c r="AC19" s="827">
        <f t="shared" si="8"/>
        <v>0</v>
      </c>
      <c r="AD19" s="828">
        <f t="shared" si="8"/>
        <v>0</v>
      </c>
      <c r="AE19" s="828">
        <f t="shared" si="8"/>
        <v>683</v>
      </c>
      <c r="AF19" s="829">
        <f t="shared" si="8"/>
        <v>0</v>
      </c>
      <c r="AG19" s="830">
        <f t="shared" si="8"/>
        <v>0</v>
      </c>
      <c r="AH19" s="831">
        <f t="shared" si="8"/>
        <v>0</v>
      </c>
      <c r="AI19" s="829">
        <f t="shared" si="8"/>
        <v>0</v>
      </c>
      <c r="AJ19" s="819">
        <f t="shared" si="8"/>
        <v>430</v>
      </c>
      <c r="AK19" s="819">
        <f t="shared" si="8"/>
        <v>877</v>
      </c>
      <c r="AL19" s="819">
        <f t="shared" si="8"/>
        <v>0</v>
      </c>
      <c r="AM19" s="832">
        <f t="shared" si="8"/>
        <v>0</v>
      </c>
      <c r="AN19" s="822">
        <f>IF(ISNUMBER(Datos!K19/Datos!J19),Datos!K19/Datos!J19," - ")</f>
        <v>1.0928217821782178</v>
      </c>
      <c r="AO19" s="822">
        <f>IF(ISNUMBER(FIND("06",Criterios!A8,1)),(IF(ISNUMBER(((Datos!R19/Datos!Q19)*11)/factor_trimestre),((Datos!R19/Datos!Q19)*11)/factor_trimestre," - ")),(IF(ISNUMBER(((Datos!L19/Datos!K19)*11)/factor_trimestre),((Datos!L19/Datos!K19)*11)/factor_trimestre," - ")))</f>
        <v>8.7265005662514152</v>
      </c>
      <c r="AP19" s="833" t="str">
        <f>IF(ISNUMBER(Datos!CI19/Datos!CJ19),Datos!CI19/Datos!CJ19," - ")</f>
        <v xml:space="preserve"> - </v>
      </c>
      <c r="AQ19" s="833">
        <f>IF(OR(ISNUMBER(FIND("01",Criterios!A8,1)),ISNUMBER(FIND("02",Criterios!A8,1)),ISNUMBER(FIND("03",Criterios!A8,1)),ISNUMBER(FIND("04",Criterios!A8,1))),(J19-Y19+K19)/(F19-K19),(I19-Y19+K19)/(F19-K19))</f>
        <v>-1.1182926829268294</v>
      </c>
      <c r="AR19" s="833">
        <f>IF(ISNUMBER((Datos!P19-Datos!Q19+O19)/(Datos!R19-Datos!P19+Datos!Q19-O19)),(Datos!P19-Datos!Q19+O19)/(Datos!R19-Datos!P19+Datos!Q19-O19)," - ")</f>
        <v>4.2748091603053436E-2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366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466.49901750521764</v>
      </c>
      <c r="G21" s="551">
        <f>IF(ISNUMBER(STDEV(G8:G18)),STDEV(G8:G18),"-")</f>
        <v>453.06015053191339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127.95884755133842</v>
      </c>
      <c r="AK21" s="251"/>
      <c r="AL21" s="251">
        <f>IF(ISNUMBER(STDEV(AL8:AL18)),STDEV(AL8:AL18),"-")</f>
        <v>0</v>
      </c>
      <c r="AM21" s="253">
        <f>IF(ISNUMBER(STDEV(AM8:AM18)),STDEV(AM8:AM18),"-")</f>
        <v>0</v>
      </c>
      <c r="AN21" s="538">
        <f>IF(ISNUMBER(STDEV(AN8:AN18)),STDEV(AN8:AN18),"-")</f>
        <v>0</v>
      </c>
      <c r="AO21" s="539">
        <f>IF(ISNUMBER(STDEV(AO8:AO18)),STDEV(AO8:AO18),"-")</f>
        <v>6.3098624713443927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j5+fR70nqRW4GQUlnI/W1FiQNWRa23i1HO+NWy4teKe5CogUYkAiXvXnRz7K5aEa7ucfnW64BGEDGAZpgEtAxQ==" saltValue="fh0mjG+IMKIL6Oyi2hqeU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zh77OWKI46GhGRaP+pT0snsB0GRDLv+Rduz9pkSkyOz19vFOmRutdUAFGaSZvY04o/mCg0L2YGFXC7skVI2pA==" saltValue="HaW6YVVfFo7jZxx7GFnr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uFPxjlE43EFM4wKobcZpJ6s2QzdvsOJvPz4GjtBBR4gCGQYF2ZdeFIkt/qXwdQyYJ9Y4pEPzKWeIgdLB3c0dA==" saltValue="rJ+UBLxG4Vw7yImdplo7Y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BALMASEDA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0.28185328185328185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0.19930036689813888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T6t81TQfdqN2qpt+r+xu6LfbFcoVkb5JBJMxonTVs2OCwSzQQ6adr7vwvingTPU4OZbW2Bg58yk3vGVAk+PMJg==" saltValue="6KBMYb2wHuQiiuhGPCDY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1LwuzpZjuZ6Y4TTtvm0sK+ccpw5dHlPHAqtwMx21Qi5VFHgGEkwx6+NuNEuhYmd7JELx/RBB5pyOi7nAk2flg==" saltValue="kGCARundd2/LzC/Z3vdu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BIZKAIA</v>
      </c>
      <c r="D3" s="374"/>
      <c r="E3" s="374"/>
      <c r="F3" s="374"/>
      <c r="BQ3" s="470"/>
    </row>
    <row r="4" spans="1:69" ht="13.5" thickBot="1">
      <c r="A4" s="374"/>
      <c r="B4" s="390" t="str">
        <f>Criterios!A11 &amp;"  "&amp;Criterios!B11</f>
        <v>Resumenes por Partidos Judiciales  BALMASEDA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3</v>
      </c>
      <c r="F10" s="403">
        <f>IF(ISNUMBER(E10/B10),E10/B10," - ")</f>
        <v>3</v>
      </c>
      <c r="G10" s="402">
        <f>IF(ISNUMBER(Datos!K10),Datos!K10," - ")</f>
        <v>3</v>
      </c>
      <c r="H10" s="403">
        <f>IF(ISNUMBER(G10/B10),G10/B10," - ")</f>
        <v>3</v>
      </c>
      <c r="I10" s="402">
        <f>IF(ISNUMBER(Datos!L10),Datos!L10," - ")</f>
        <v>6</v>
      </c>
      <c r="J10" s="403">
        <f>IF(ISNUMBER(I10/B10),I10/B10," - ")</f>
        <v>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644</v>
      </c>
      <c r="D12" s="403">
        <f>IF(ISNUMBER(C12/Datos!BH12),C12/Datos!BH12," - ")</f>
        <v>322</v>
      </c>
      <c r="E12" s="402">
        <f>IF(ISNUMBER(IF(J_V="SI",Datos!J12,Datos!J12+Datos!Z12)),IF(J_V="SI",Datos!J12,Datos!J12+Datos!Z12)," - ")</f>
        <v>979</v>
      </c>
      <c r="F12" s="403">
        <f>IF(ISNUMBER(E12/B12),E12/B12," - ")</f>
        <v>489.5</v>
      </c>
      <c r="G12" s="402">
        <f>IF(ISNUMBER(IF(J_V="SI",Datos!K12,Datos!K12+Datos!AA12)),IF(J_V="SI",Datos!K12,Datos!K12+Datos!AA12)," - ")</f>
        <v>1033</v>
      </c>
      <c r="H12" s="403">
        <f>IF(ISNUMBER(G12/B12),G12/B12," - ")</f>
        <v>516.5</v>
      </c>
      <c r="I12" s="402">
        <f>IF(ISNUMBER(IF(J_V="SI",Datos!L12,Datos!L12+Datos!AB12)),IF(J_V="SI",Datos!L12,Datos!L12+Datos!AB12)," - ")</f>
        <v>590</v>
      </c>
      <c r="J12" s="403">
        <f>IF(ISNUMBER(I12/B12),I12/B12," - ")</f>
        <v>295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650</v>
      </c>
      <c r="D13" s="849" t="str">
        <f>IF(ISNUMBER(C13/Datos!BI13),C13/Datos!BI13," - ")</f>
        <v xml:space="preserve"> - </v>
      </c>
      <c r="E13" s="848">
        <f>SUBTOTAL(9,E8:E12)</f>
        <v>982</v>
      </c>
      <c r="F13" s="849">
        <f>IF(ISNUMBER(E13/B13),E13/B13," - ")</f>
        <v>491</v>
      </c>
      <c r="G13" s="848">
        <f>SUBTOTAL(9,G8:G12)</f>
        <v>1036</v>
      </c>
      <c r="H13" s="849">
        <f>IF(ISNUMBER(G13/B13),G13/B13," - ")</f>
        <v>518</v>
      </c>
      <c r="I13" s="848">
        <f>SUBTOTAL(9,I8:I12)</f>
        <v>596</v>
      </c>
      <c r="J13" s="849">
        <f>IF(ISNUMBER(I13/B13),I13/B13," - ")</f>
        <v>298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809</v>
      </c>
      <c r="D16" s="403">
        <f>IF(ISNUMBER(C16/Datos!BH16),C16/Datos!BH16," - ")</f>
        <v>404.5</v>
      </c>
      <c r="E16" s="402">
        <f>IF(ISNUMBER(IF(D_I="SI",Datos!J16,Datos!J16+Datos!AD16)),IF(D_I="SI",Datos!J16,Datos!J16+Datos!AD16)," - ")</f>
        <v>738</v>
      </c>
      <c r="F16" s="403">
        <f>IF(ISNUMBER(E16/B16),E16/B16," - ")</f>
        <v>369</v>
      </c>
      <c r="G16" s="402">
        <f>IF(ISNUMBER(IF(D_I="SI",Datos!K16,Datos!K16+Datos!AE16)),IF(D_I="SI",Datos!K16,Datos!K16+Datos!AE16)," - ")</f>
        <v>777</v>
      </c>
      <c r="H16" s="403">
        <f>IF(ISNUMBER(G16/B16),G16/B16," - ")</f>
        <v>388.5</v>
      </c>
      <c r="I16" s="402">
        <f>IF(ISNUMBER(IF(D_I="SI",Datos!L16,Datos!L16+Datos!AF16)),IF(D_I="SI",Datos!L16,Datos!L16+Datos!AF16)," - ")</f>
        <v>775</v>
      </c>
      <c r="J16" s="403">
        <f>IF(ISNUMBER(I16/B16),I16/B16," - ")</f>
        <v>387.5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100</v>
      </c>
      <c r="D17" s="403">
        <f>IF(ISNUMBER(C17/Datos!BH17),C17/Datos!BH17," - ")</f>
        <v>100</v>
      </c>
      <c r="E17" s="402">
        <f>IF(ISNUMBER(IF(D_I="SI",Datos!J17,Datos!J17+Datos!AD17)),IF(D_I="SI",Datos!J17,Datos!J17+Datos!AD17)," - ")</f>
        <v>97</v>
      </c>
      <c r="F17" s="403">
        <f>IF(ISNUMBER(E17/B17),E17/B17," - ")</f>
        <v>97</v>
      </c>
      <c r="G17" s="402">
        <f>IF(ISNUMBER(IF(D_I="SI",Datos!K17,Datos!K17+Datos!AE17)),IF(D_I="SI",Datos!K17,Datos!K17+Datos!AE17)," - ")</f>
        <v>137</v>
      </c>
      <c r="H17" s="403">
        <f>IF(ISNUMBER(G17/B17),G17/B17," - ")</f>
        <v>137</v>
      </c>
      <c r="I17" s="402">
        <f>IF(ISNUMBER(IF(D_I="SI",Datos!L17,Datos!L17+Datos!AF17)),IF(D_I="SI",Datos!L17,Datos!L17+Datos!AF17)," - ")</f>
        <v>60</v>
      </c>
      <c r="J17" s="403">
        <f>IF(ISNUMBER(I17/B17),I17/B17," - ")</f>
        <v>60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909</v>
      </c>
      <c r="D18" s="849" t="str">
        <f>IF(ISNUMBER(C18/Datos!BI18),C18/Datos!BI18," - ")</f>
        <v xml:space="preserve"> - </v>
      </c>
      <c r="E18" s="848">
        <f>SUBTOTAL(9,E14:E17)</f>
        <v>835</v>
      </c>
      <c r="F18" s="849">
        <f>IF(ISNUMBER(E18/B18),E18/B18," - ")</f>
        <v>417.5</v>
      </c>
      <c r="G18" s="848">
        <f>SUBTOTAL(9,G14:G17)</f>
        <v>914</v>
      </c>
      <c r="H18" s="849">
        <f>IF(ISNUMBER(G18/B18),G18/B18," - ")</f>
        <v>457</v>
      </c>
      <c r="I18" s="848">
        <f>SUBTOTAL(9,I14:I17)</f>
        <v>835</v>
      </c>
      <c r="J18" s="849">
        <f>IF(ISNUMBER(I18/B18),I18/B18," - ")</f>
        <v>417.5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1559</v>
      </c>
      <c r="D19" s="794" t="str">
        <f>IF(ISNUMBER(C19/Datos!BI19),C19/Datos!BI19," - ")</f>
        <v xml:space="preserve"> - </v>
      </c>
      <c r="E19" s="793">
        <f>SUBTOTAL(9,E9:E18)</f>
        <v>1817</v>
      </c>
      <c r="F19" s="794">
        <f>IF(ISNUMBER(E19/B19),E19/B19," - ")</f>
        <v>908.5</v>
      </c>
      <c r="G19" s="793">
        <f>SUBTOTAL(9,G9:G18)</f>
        <v>1950</v>
      </c>
      <c r="H19" s="794">
        <f>IF(ISNUMBER(G19/B19),G19/B19," - ")</f>
        <v>975</v>
      </c>
      <c r="I19" s="793">
        <f>SUBTOTAL(9,I9:I18)</f>
        <v>1431</v>
      </c>
      <c r="J19" s="794">
        <f>IF(ISNUMBER(I19/B19),I19/B19," - ")</f>
        <v>715.5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NJQh5nuZGyJ4fUDU6pUfJqHMMaf6AxUkYnKC15LJmcvyaK4rkJ4zecep+Gc+t28d7Ka8B5Hrl9WcqaQQGm+esg==" saltValue="uV0eMGn962pFbPdo7uxu4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BIZKAIA  Resumenes por Partidos Judiciales  BALMASEDA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22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212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616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290</v>
      </c>
      <c r="AM12" s="689">
        <f>IF(ISNUMBER(Datos!N12+DatosP!N16),Datos!N12+DatosP!N16," - ")</f>
        <v>446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6.2826718296224584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5.1194539249146756E-2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212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182</v>
      </c>
      <c r="AE13" s="938">
        <f t="shared" si="1"/>
        <v>0</v>
      </c>
      <c r="AF13" s="938">
        <f t="shared" si="1"/>
        <v>6</v>
      </c>
      <c r="AG13" s="938">
        <f t="shared" si="1"/>
        <v>0</v>
      </c>
      <c r="AH13" s="938">
        <f t="shared" si="1"/>
        <v>616</v>
      </c>
      <c r="AI13" s="938">
        <f t="shared" si="1"/>
        <v>0</v>
      </c>
      <c r="AJ13" s="938">
        <f t="shared" si="1"/>
        <v>0</v>
      </c>
      <c r="AK13" s="938">
        <f t="shared" si="1"/>
        <v>0</v>
      </c>
      <c r="AL13" s="938">
        <f t="shared" si="1"/>
        <v>292</v>
      </c>
      <c r="AM13" s="938">
        <f t="shared" si="1"/>
        <v>447</v>
      </c>
      <c r="AN13" s="938">
        <f t="shared" si="1"/>
        <v>0</v>
      </c>
      <c r="AO13" s="938">
        <f t="shared" si="1"/>
        <v>0</v>
      </c>
      <c r="AP13" s="943">
        <f>IF(ISNUMBER(((Datos!L13/Datos!K13)*11)/factor_trimestre),((Datos!L13/Datos!K13)*11)/factor_trimestre," - ")</f>
        <v>7.307511737089202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v>
      </c>
      <c r="AU13" s="938" t="str">
        <f>IF(ISNUMBER((DatosP!#REF!-DatosP!#REF!+DatosP!#REF!)/(DatosP!#REF!+DatosP!#REF!-DatosP!#REF!-DatosP!#REF!)),(DatosP!#REF!-DatosP!#REF!+DatosP!#REF!)/(DatosP!#REF!+DatosP!#REF!-DatosP!#REF!-DatosP!#REF!)," - ")</f>
        <v xml:space="preserve"> - </v>
      </c>
      <c r="AV13" s="944">
        <f>SUBTOTAL(9,AV9:AV12)</f>
        <v>5.1194539249146756E-2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10.049234135667396</v>
      </c>
      <c r="AQ18" s="943">
        <f>IF(ISNUMBER(((Datos!M18/Datos!L18)*11)/factor_trimestre),((Datos!M18/Datos!L18)*11)/factor_trimestre," - ")</f>
        <v>1.8179640718562875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-3.0769230769230771E-2</v>
      </c>
      <c r="AW18" s="945">
        <f>IF(ISNUMBER((Datos!Q18-Datos!R18)/(Datos!S18-Datos!Q18+Datos!R18)),(Datos!Q18-Datos!R18)/(Datos!S18-Datos!Q18+Datos!R18)," - ")</f>
        <v>-3.6488027366020526E-2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212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182</v>
      </c>
      <c r="AE19" s="956">
        <f t="shared" si="5"/>
        <v>0</v>
      </c>
      <c r="AF19" s="957">
        <f t="shared" si="5"/>
        <v>6</v>
      </c>
      <c r="AG19" s="957">
        <f t="shared" si="5"/>
        <v>0</v>
      </c>
      <c r="AH19" s="957">
        <f t="shared" si="5"/>
        <v>616</v>
      </c>
      <c r="AI19" s="957">
        <f t="shared" si="5"/>
        <v>0</v>
      </c>
      <c r="AJ19" s="958">
        <f t="shared" si="5"/>
        <v>0</v>
      </c>
      <c r="AK19" s="958">
        <f t="shared" si="5"/>
        <v>0</v>
      </c>
      <c r="AL19" s="950">
        <f t="shared" si="5"/>
        <v>292</v>
      </c>
      <c r="AM19" s="950">
        <f t="shared" si="5"/>
        <v>447</v>
      </c>
      <c r="AN19" s="950">
        <f t="shared" si="5"/>
        <v>0</v>
      </c>
      <c r="AO19" s="950">
        <f t="shared" si="5"/>
        <v>0</v>
      </c>
      <c r="AP19" s="950">
        <f>IF(ISNUMBER(((Datos!L19/Datos!K19)*11)/factor_trimestre),((Datos!L19/Datos!K19)*11)/factor_trimestre," - ")</f>
        <v>8.7265005662514152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4.2748091603053436E-2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167.43555974364187</v>
      </c>
      <c r="AM21" s="735"/>
      <c r="AN21" s="735">
        <f>IF(ISNUMBER(STDEV(AN8:AN18)),STDEV(AN8:AN18),"-")</f>
        <v>0</v>
      </c>
      <c r="AO21" s="741">
        <f>IF(ISNUMBER(STDEV(AO8:AO18)),STDEV(AO8:AO18),"-")</f>
        <v>0</v>
      </c>
      <c r="AP21" s="778">
        <f>IF(ISNUMBER(STDEV(AP8:AP18)),STDEV(AP8:AP18),"-")</f>
        <v>7.2369350733311837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SOXNKjS85kd6gp/4mrixaIS26gsdOFfgdhxf0hAeO90tuO95M8fjnc8HMJfMoXScyYMNmJzLDIqBP+PGIaNuiw==" saltValue="yvpwRhLd3vksv5tFue6RS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BIZKAIA</v>
      </c>
      <c r="C3" s="414"/>
      <c r="F3" s="374"/>
      <c r="G3" s="374"/>
      <c r="H3" s="374"/>
    </row>
    <row r="4" spans="1:15" ht="13.5" thickBot="1">
      <c r="A4" s="374"/>
      <c r="B4" s="390" t="str">
        <f>Criterios!A11 &amp;"  "&amp;Criterios!B11</f>
        <v>Resumenes por Partidos Judiciales  BALMASEDA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1bAhel27t2Uf6/appqRN0WpFCogbWz+wX9dP+Pxnv+nLryxEpJ+3HxGHxltJEGIw9W+WCmVHYz6sWL7eT1aUwg==" saltValue="l04fNZfrlxx4Hp3/TPIn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BIZKAIA</v>
      </c>
      <c r="C3" s="390"/>
      <c r="D3" s="424"/>
      <c r="BZ3" s="470"/>
    </row>
    <row r="4" spans="1:78" ht="13.5" thickBot="1">
      <c r="B4" s="390" t="str">
        <f>Criterios!A11 &amp;"  "&amp;Criterios!B11</f>
        <v>Resumenes por Partidos Judiciales  BALMASEDA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290</v>
      </c>
      <c r="E12" s="403">
        <f t="shared" si="0"/>
        <v>145</v>
      </c>
      <c r="F12" s="402">
        <f>IF(ISNUMBER(Datos!N12),Datos!N12," - ")</f>
        <v>446</v>
      </c>
      <c r="G12" s="403">
        <f t="shared" si="1"/>
        <v>223</v>
      </c>
      <c r="H12" s="402">
        <f>IF(ISNUMBER(Datos!O12),Datos!O12," - ")</f>
        <v>404</v>
      </c>
      <c r="I12" s="403">
        <f t="shared" si="2"/>
        <v>202</v>
      </c>
      <c r="BZ12" s="1185">
        <f>Datos!EZ12</f>
        <v>0</v>
      </c>
    </row>
    <row r="13" spans="1:78" ht="14.25" thickTop="1" thickBot="1">
      <c r="A13" s="847" t="str">
        <f>Datos!A13</f>
        <v>TOTAL</v>
      </c>
      <c r="B13" s="848">
        <f>Datos!AP13</f>
        <v>2</v>
      </c>
      <c r="C13" s="850">
        <f>Datos!AR13</f>
        <v>2</v>
      </c>
      <c r="D13" s="848">
        <f>SUBTOTAL(9,D9:D12)</f>
        <v>292</v>
      </c>
      <c r="E13" s="849">
        <f t="shared" si="0"/>
        <v>146</v>
      </c>
      <c r="F13" s="848">
        <f>SUBTOTAL(9,F9:F12)</f>
        <v>447</v>
      </c>
      <c r="G13" s="849">
        <f t="shared" si="1"/>
        <v>223.5</v>
      </c>
      <c r="H13" s="848">
        <f>SUBTOTAL(9,H9:H12)</f>
        <v>404</v>
      </c>
      <c r="I13" s="849">
        <f>IF(ISNUMBER(H13/B13),H13/B13," - ")</f>
        <v>202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129</v>
      </c>
      <c r="E16" s="403">
        <f t="shared" si="3"/>
        <v>64.5</v>
      </c>
      <c r="F16" s="402">
        <f>IF(ISNUMBER(Datos!N16),Datos!N16," - ")</f>
        <v>370</v>
      </c>
      <c r="G16" s="403">
        <f t="shared" si="4"/>
        <v>185</v>
      </c>
      <c r="H16" s="402">
        <f>IF(ISNUMBER(Datos!O16),Datos!O16," - ")</f>
        <v>1</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9</v>
      </c>
      <c r="E17" s="403">
        <f>IF(ISNUMBER(D17/B17),D17/B17," - ")</f>
        <v>9</v>
      </c>
      <c r="F17" s="402">
        <f>IF(ISNUMBER(Datos!N17),Datos!N17," - ")</f>
        <v>60</v>
      </c>
      <c r="G17" s="403">
        <f>IF(ISNUMBER(F17/B17),F17/B17," - ")</f>
        <v>60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138</v>
      </c>
      <c r="E18" s="849">
        <f t="shared" si="3"/>
        <v>69</v>
      </c>
      <c r="F18" s="848">
        <f>SUBTOTAL(9,F15:F17)</f>
        <v>430</v>
      </c>
      <c r="G18" s="849">
        <f t="shared" si="4"/>
        <v>215</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430</v>
      </c>
      <c r="E19" s="794">
        <f>IF(ISNUMBER(D19/B19),D19/B19," - ")</f>
        <v>215</v>
      </c>
      <c r="F19" s="793">
        <f>SUBTOTAL(9,F8:F18)</f>
        <v>877</v>
      </c>
      <c r="G19" s="794">
        <f>IF(ISNUMBER(F19/B19),F19/B19," - ")</f>
        <v>438.5</v>
      </c>
      <c r="H19" s="793">
        <f>SUBTOTAL(9,H8:H18)</f>
        <v>405</v>
      </c>
      <c r="I19" s="794">
        <f>IF(ISNUMBER(H19/B19),H19/B19," - ")</f>
        <v>202.5</v>
      </c>
    </row>
    <row r="22" spans="1:78">
      <c r="A22" s="390" t="str">
        <f>Criterios!A4</f>
        <v>Fecha Informe: 18 mar. 2026</v>
      </c>
    </row>
    <row r="27" spans="1:78">
      <c r="A27" s="413"/>
    </row>
  </sheetData>
  <sheetProtection algorithmName="SHA-512" hashValue="slzrrZ6RKJ1wCdzgO+haxxFY30oPmiRPjnEfXxBjWg6nVVlxzSr5f6JqV4DKNt0LFqzl5+FeBmnUw+WUtZUD3A==" saltValue="I0uT0WSfZuQhxQmRyxPW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BIZKAIA</v>
      </c>
    </row>
    <row r="4" spans="1:4" ht="13.5" thickBot="1">
      <c r="B4" s="390" t="str">
        <f>Criterios!A11 &amp;"  "&amp;Criterios!B11</f>
        <v>Resumenes por Partidos Judiciales  BALMASEDA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212</v>
      </c>
      <c r="C12" s="433">
        <f>IF(ISNUMBER(Datos!Q12),Datos!Q12," - ")</f>
        <v>182</v>
      </c>
      <c r="D12" s="407">
        <f>IF(ISNUMBER(Datos!R12),Datos!R12," - ")</f>
        <v>616</v>
      </c>
    </row>
    <row r="13" spans="1:4" ht="14.25" thickTop="1" thickBot="1">
      <c r="A13" s="847" t="str">
        <f>Datos!A13</f>
        <v>TOTAL</v>
      </c>
      <c r="B13" s="848">
        <f>SUBTOTAL(9,B9:B12)</f>
        <v>212</v>
      </c>
      <c r="C13" s="852">
        <f>SUBTOTAL(9,C9:C12)</f>
        <v>182</v>
      </c>
      <c r="D13" s="850">
        <f>SUBTOTAL(9,D9:D12)</f>
        <v>620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28</v>
      </c>
      <c r="C16" s="433">
        <f>IF(ISNUMBER(Datos!Q16),Datos!Q16," - ")</f>
        <v>30</v>
      </c>
      <c r="D16" s="407">
        <f>IF(ISNUMBER(Datos!R16),Datos!R16," - ")</f>
        <v>63</v>
      </c>
    </row>
    <row r="17" spans="1:4" ht="13.5" thickBot="1">
      <c r="A17" s="401" t="str">
        <f>Datos!A17</f>
        <v>Jdos. Violencia contra la mujer/Secc Viol. TI.</v>
      </c>
      <c r="B17" s="432">
        <f>IF(ISNUMBER(Datos!P17),Datos!P17," - ")</f>
        <v>1</v>
      </c>
      <c r="C17" s="433">
        <f>IF(ISNUMBER(Datos!Q17),Datos!Q17," - ")</f>
        <v>1</v>
      </c>
      <c r="D17" s="407">
        <f>IF(ISNUMBER(Datos!R17),Datos!R17," - ")</f>
        <v>0</v>
      </c>
    </row>
    <row r="18" spans="1:4" ht="14.25" thickTop="1" thickBot="1">
      <c r="A18" s="847" t="str">
        <f>Datos!A18</f>
        <v>TOTAL</v>
      </c>
      <c r="B18" s="848">
        <f>SUBTOTAL(9,B15:B17)</f>
        <v>29</v>
      </c>
      <c r="C18" s="852">
        <f>SUBTOTAL(9,C15:C17)</f>
        <v>31</v>
      </c>
      <c r="D18" s="850">
        <f>SUBTOTAL(9,D15:D17)</f>
        <v>63</v>
      </c>
    </row>
    <row r="19" spans="1:4" ht="16.5" customHeight="1" thickTop="1" thickBot="1">
      <c r="A19" s="792" t="str">
        <f>Datos!A19</f>
        <v>TOTAL JURISDICCIONES</v>
      </c>
      <c r="B19" s="797">
        <f>SUBTOTAL(9,B8:B18)</f>
        <v>241</v>
      </c>
      <c r="C19" s="798">
        <f>SUBTOTAL(9,C8:C18)</f>
        <v>213</v>
      </c>
      <c r="D19" s="799">
        <f>SUBTOTAL(9,D8:D18)</f>
        <v>683</v>
      </c>
    </row>
    <row r="20" spans="1:4" ht="7.5" customHeight="1"/>
    <row r="21" spans="1:4" ht="6" customHeight="1"/>
    <row r="22" spans="1:4">
      <c r="A22" s="390" t="str">
        <f>Criterios!A4</f>
        <v>Fecha Informe: 18 mar. 2026</v>
      </c>
    </row>
    <row r="27" spans="1:4">
      <c r="A27" s="413"/>
    </row>
  </sheetData>
  <sheetProtection algorithmName="SHA-512" hashValue="DCOKSV+XYIjh9OkXHsdUjgrmlTcFz8oa/YgidayZBWszJa6yiuyVDzSUr/4y+3Ftu/yC5laCSxy/tANJci0R5A==" saltValue="tkIjrGQOa4LMWc3QUD/H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BIZKAIA</v>
      </c>
    </row>
    <row r="4" spans="1:11" ht="10.5" customHeight="1" thickBot="1">
      <c r="B4" s="390" t="str">
        <f>Criterios!A11 &amp;"  "&amp;Criterios!B11</f>
        <v>Resumenes por Partidos Judiciales  BALMASEDA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-0.25</v>
      </c>
      <c r="D10" s="455">
        <f>IF(ISNUMBER((Datos!K10-Datos!U10)/Datos!U10),(Datos!K10-Datos!U10)/Datos!U10," - ")</f>
        <v>-0.25</v>
      </c>
      <c r="E10" s="455">
        <f>IF(ISNUMBER((Datos!L10-Datos!V10)/Datos!V10),(Datos!L10-Datos!V10)/Datos!V10," - ")</f>
        <v>0</v>
      </c>
      <c r="F10" s="455">
        <f>IF(ISNUMBER((Datos!M10-Datos!W10)/Datos!W10),(Datos!M10-Datos!W10)/Datos!W10," - ")</f>
        <v>-0.33333333333333331</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0.33333333333333331</v>
      </c>
      <c r="J10" s="460">
        <f>IF(ISNUMBER((('Resol  Asuntos'!D10/NºAsuntos!G10)-Datos!BF10)/Datos!BF10),(('Resol  Asuntos'!D10/NºAsuntos!G10)-Datos!BF10)/Datos!BF10," - ")</f>
        <v>-0.11111111111111116</v>
      </c>
      <c r="K10" s="461">
        <f>IF(ISNUMBER((((NºAsuntos!C10+NºAsuntos!E10)/NºAsuntos!G10)-Datos!BG10)/Datos!BG10),(((NºAsuntos!C10+NºAsuntos!E10)/NºAsuntos!G10)-Datos!BG10)/Datos!BG10," - ")</f>
        <v>0.2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0.10273972602739725</v>
      </c>
      <c r="C12" s="455">
        <f>IF(ISNUMBER(
   IF(J_V="SI",(Datos!J12-Datos!T12)/Datos!T12,(Datos!J12+Datos!Z12-(Datos!T12+Datos!AH12))/(Datos!T12+Datos!AH12))
     ),IF(J_V="SI",(Datos!J12-Datos!T12)/Datos!T12,(Datos!J12+Datos!Z12-(Datos!T12+Datos!AH12))/(Datos!T12+Datos!AH12))," - ")</f>
        <v>-1.310483870967742E-2</v>
      </c>
      <c r="D12" s="455">
        <f>IF(ISNUMBER(
   IF(J_V="SI",(Datos!K12-Datos!U12)/Datos!U12,(Datos!K12+Datos!AA12-(Datos!U12+Datos!AI12))/(Datos!U12+Datos!AI12))
     ),IF(J_V="SI",(Datos!K12-Datos!U12)/Datos!U12,(Datos!K12+Datos!AA12-(Datos!U12+Datos!AI12))/(Datos!U12+Datos!AI12))," - ")</f>
        <v>0.10836909871244635</v>
      </c>
      <c r="E12" s="455">
        <f>IF(ISNUMBER(
   IF(J_V="SI",(Datos!L12-Datos!V12)/Datos!V12,(Datos!L12+Datos!AB12-(Datos!V12+Datos!AJ12))/(Datos!V12+Datos!AJ12))
     ),IF(J_V="SI",(Datos!L12-Datos!V12)/Datos!V12,(Datos!L12+Datos!AB12-(Datos!V12+Datos!AJ12))/(Datos!V12+Datos!AJ12))," - ")</f>
        <v>-8.3850931677018639E-2</v>
      </c>
      <c r="F12" s="455">
        <f>IF(ISNUMBER((Datos!M12-Datos!W12)/Datos!W12),(Datos!M12-Datos!W12)/Datos!W12," - ")</f>
        <v>0.39423076923076922</v>
      </c>
      <c r="G12" s="456">
        <f>IF(ISNUMBER((Datos!N12-Datos!X12)/Datos!X12),(Datos!N12-Datos!X12)/Datos!X12," - ")</f>
        <v>0.15245478036175711</v>
      </c>
      <c r="H12" s="454">
        <f>IF(ISNUMBER(((NºAsuntos!G12/NºAsuntos!E12)-Datos!BD12)/Datos!BD12),((NºAsuntos!G12/NºAsuntos!E12)-Datos!BD12)/Datos!BD12," - ")</f>
        <v>0.12308697234192718</v>
      </c>
      <c r="I12" s="455">
        <f>IF(ISNUMBER(((NºAsuntos!I12/NºAsuntos!G12)-Datos!BE12)/Datos!BE12),((NºAsuntos!I12/NºAsuntos!G12)-Datos!BE12)/Datos!BE12," - ")</f>
        <v>-0.17342600999320562</v>
      </c>
      <c r="J12" s="460">
        <f>IF(ISNUMBER((('Resol  Asuntos'!D12/NºAsuntos!G12)-Datos!BF12)/Datos!BF12),(('Resol  Asuntos'!D12/NºAsuntos!G12)-Datos!BF12)/Datos!BF12," - ")</f>
        <v>-0.32391294015824068</v>
      </c>
      <c r="K12" s="461">
        <f>IF(ISNUMBER((((NºAsuntos!C12+NºAsuntos!E12)/NºAsuntos!G12)-Datos!BG12)/Datos!BG12),(((NºAsuntos!C12+NºAsuntos!E12)/NºAsuntos!G12)-Datos!BG12)/Datos!BG12," - ")</f>
        <v>-7.0866973626665233E-2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0.10169491525423729</v>
      </c>
      <c r="C13" s="854">
        <f>IF(ISNUMBER(
   IF(J_V="SI",(Datos!J13-Datos!T13)/Datos!T13,(Datos!J13+Datos!Z13-(Datos!T13+Datos!AH13))/(Datos!T13+Datos!AH13))
     ),IF(J_V="SI",(Datos!J13-Datos!T13)/Datos!T13,(Datos!J13+Datos!Z13-(Datos!T13+Datos!AH13))/(Datos!T13+Datos!AH13))," - ")</f>
        <v>-1.4056224899598393E-2</v>
      </c>
      <c r="D13" s="854">
        <f>IF(ISNUMBER(
   IF(J_V="SI",(Datos!K13-Datos!U13)/Datos!U13,(Datos!K13+Datos!AA13-(Datos!U13+Datos!AI13))/(Datos!U13+Datos!AI13))
     ),IF(J_V="SI",(Datos!K13-Datos!U13)/Datos!U13,(Datos!K13+Datos!AA13-(Datos!U13+Datos!AI13))/(Datos!U13+Datos!AI13))," - ")</f>
        <v>0.10683760683760683</v>
      </c>
      <c r="E13" s="854">
        <f>IF(ISNUMBER(
   IF(J_V="SI",(Datos!L13-Datos!V13)/Datos!V13,(Datos!L13+Datos!AB13-(Datos!V13+Datos!AJ13))/(Datos!V13+Datos!AJ13))
     ),IF(J_V="SI",(Datos!L13-Datos!V13)/Datos!V13,(Datos!L13+Datos!AB13-(Datos!V13+Datos!AJ13))/(Datos!V13+Datos!AJ13))," - ")</f>
        <v>-8.3076923076923076E-2</v>
      </c>
      <c r="F13" s="855">
        <f>IF(ISNUMBER((Datos!M13-Datos!W13)/Datos!W13),(Datos!M13-Datos!W13)/Datos!W13," - ")</f>
        <v>0.38388625592417064</v>
      </c>
      <c r="G13" s="856">
        <f>IF(ISNUMBER((Datos!N13-Datos!X13)/Datos!X13),(Datos!N13-Datos!X13)/Datos!X13," - ")</f>
        <v>0.15503875968992248</v>
      </c>
      <c r="H13" s="856">
        <f>IF(ISNUMBER(((NºAsuntos!G13/NºAsuntos!E13)-Datos!BD13)/Datos!BD13),((NºAsuntos!G13/NºAsuntos!E13)-Datos!BD13)/Datos!BD13," - ")</f>
        <v>0.12261736905321434</v>
      </c>
      <c r="I13" s="856">
        <f>IF(ISNUMBER(((NºAsuntos!I13/NºAsuntos!G13)-Datos!BE13)/Datos!BE13),((NºAsuntos!I13/NºAsuntos!G13)-Datos!BE13)/Datos!BE13," - ")</f>
        <v>-0.17158301158301162</v>
      </c>
      <c r="J13" s="856">
        <f>IF(ISNUMBER((('Resol  Asuntos'!D13/NºAsuntos!G13)-Datos!BF13)/Datos!BF13),(('Resol  Asuntos'!D13/NºAsuntos!G13)-Datos!BF13)/Datos!BF13," - ")</f>
        <v>-0.32355212355212359</v>
      </c>
      <c r="K13" s="856">
        <f>IF(ISNUMBER((((NºAsuntos!C13+NºAsuntos!E13)/NºAsuntos!G13)-Datos!BG13)/Datos!BG13),(((NºAsuntos!C13+NºAsuntos!E13)/NºAsuntos!G13)-Datos!BG13)/Datos!BG13," - ")</f>
        <v>-7.032090638648017E-2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7.7230359520639141E-2</v>
      </c>
      <c r="C16" s="455">
        <f>IF(ISNUMBER(
   IF(D_I="SI",(Datos!J16-Datos!T16)/Datos!T16,(Datos!J16+Datos!AD16-(Datos!T16+Datos!AL16))/(Datos!T16+Datos!AL16))
     ),IF(D_I="SI",(Datos!J16-Datos!T16)/Datos!T16,(Datos!J16+Datos!AD16-(Datos!T16+Datos!AL16))/(Datos!T16+Datos!AL16))," - ")</f>
        <v>-0.16610169491525423</v>
      </c>
      <c r="D16" s="455">
        <f>IF(ISNUMBER(
   IF(D_I="SI",(Datos!K16-Datos!U16)/Datos!U16,(Datos!K16+Datos!AE16-(Datos!U16+Datos!AM16))/(Datos!U16+Datos!AM16))
     ),IF(D_I="SI",(Datos!K16-Datos!U16)/Datos!U16,(Datos!K16+Datos!AE16-(Datos!U16+Datos!AM16))/(Datos!U16+Datos!AM16))," - ")</f>
        <v>-6.4981949458483748E-2</v>
      </c>
      <c r="E16" s="455">
        <f>IF(ISNUMBER(
   IF(D_I="SI",(Datos!L16-Datos!V16)/Datos!V16,(Datos!L16+Datos!AF16-(Datos!V16+Datos!AN16))/(Datos!V16+Datos!AN16))
     ),IF(D_I="SI",(Datos!L16-Datos!V16)/Datos!V16,(Datos!L16+Datos!AF16-(Datos!V16+Datos!AN16))/(Datos!V16+Datos!AN16))," - ")</f>
        <v>-4.2027194066749075E-2</v>
      </c>
      <c r="F16" s="455">
        <f>IF(ISNUMBER((Datos!M16-Datos!W16)/Datos!W16),(Datos!M16-Datos!W16)/Datos!W16," - ")</f>
        <v>0.20560747663551401</v>
      </c>
      <c r="G16" s="456">
        <f>IF(ISNUMBER((Datos!N16-Datos!X16)/Datos!X16),(Datos!N16-Datos!X16)/Datos!X16," - ")</f>
        <v>-0.23236514522821577</v>
      </c>
      <c r="H16" s="454">
        <f>IF(ISNUMBER(((NºAsuntos!G16/NºAsuntos!E16)-Datos!BD16)/Datos!BD16),((NºAsuntos!G16/NºAsuntos!E16)-Datos!BD16)/Datos!BD16," - ")</f>
        <v>0.12126148337295641</v>
      </c>
      <c r="I16" s="455">
        <f>IF(ISNUMBER(((NºAsuntos!I16/NºAsuntos!G16)-Datos!BE16)/Datos!BE16),((NºAsuntos!I16/NºAsuntos!G16)-Datos!BE16)/Datos!BE16," - ")</f>
        <v>2.4550066577260693E-2</v>
      </c>
      <c r="J16" s="460">
        <f>IF(ISNUMBER((('Resol  Asuntos'!D16/NºAsuntos!G16)-Datos!BF16)/Datos!BF16),(('Resol  Asuntos'!D16/NºAsuntos!G16)-Datos!BF16)/Datos!BF16," - ")</f>
        <v>0.28939486883412113</v>
      </c>
      <c r="K16" s="461">
        <f>IF(ISNUMBER((((NºAsuntos!C16+NºAsuntos!E16)/NºAsuntos!G16)-Datos!BG16)/Datos!BG16),(((NºAsuntos!C16+NºAsuntos!E16)/NºAsuntos!G16)-Datos!BG16)/Datos!BG16," - ")</f>
        <v>1.1316328553492377E-2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6.3829787234042548E-2</v>
      </c>
      <c r="C17" s="455">
        <f>IF(ISNUMBER(
   IF(D_I="SI",(Datos!J17-Datos!T17)/Datos!T17,(Datos!J17+Datos!AD17-(Datos!T17+Datos!AL17))/(Datos!T17+Datos!AL17))
     ),IF(D_I="SI",(Datos!J17-Datos!T17)/Datos!T17,(Datos!J17+Datos!AD17-(Datos!T17+Datos!AL17))/(Datos!T17+Datos!AL17))," - ")</f>
        <v>-0.2814814814814815</v>
      </c>
      <c r="D17" s="455">
        <f>IF(ISNUMBER(
   IF(D_I="SI",(Datos!K17-Datos!U17)/Datos!U17,(Datos!K17+Datos!AE17-(Datos!U17+Datos!AM17))/(Datos!U17+Datos!AM17))
     ),IF(D_I="SI",(Datos!K17-Datos!U17)/Datos!U17,(Datos!K17+Datos!AE17-(Datos!U17+Datos!AM17))/(Datos!U17+Datos!AM17))," - ")</f>
        <v>6.2015503875968991E-2</v>
      </c>
      <c r="E17" s="455">
        <f>IF(ISNUMBER(
   IF(D_I="SI",(Datos!L17-Datos!V17)/Datos!V17,(Datos!L17+Datos!AF17-(Datos!V17+Datos!AN17))/(Datos!V17+Datos!AN17))
     ),IF(D_I="SI",(Datos!L17-Datos!V17)/Datos!V17,(Datos!L17+Datos!AF17-(Datos!V17+Datos!AN17))/(Datos!V17+Datos!AN17))," - ")</f>
        <v>-0.4</v>
      </c>
      <c r="F17" s="455">
        <f>IF(ISNUMBER((Datos!M17-Datos!W17)/Datos!W17),(Datos!M17-Datos!W17)/Datos!W17," - ")</f>
        <v>-0.4</v>
      </c>
      <c r="G17" s="456">
        <f>IF(ISNUMBER((Datos!N17-Datos!X17)/Datos!X17),(Datos!N17-Datos!X17)/Datos!X17," - ")</f>
        <v>-4.7619047619047616E-2</v>
      </c>
      <c r="H17" s="454">
        <f>IF(ISNUMBER(((NºAsuntos!G17/NºAsuntos!E17)-Datos!BD17)/Datos!BD17),((NºAsuntos!G17/NºAsuntos!E17)-Datos!BD17)/Datos!BD17," - ")</f>
        <v>0.47806281467274037</v>
      </c>
      <c r="I17" s="455">
        <f>IF(ISNUMBER(((NºAsuntos!I17/NºAsuntos!G17)-Datos!BE17)/Datos!BE17),((NºAsuntos!I17/NºAsuntos!G17)-Datos!BE17)/Datos!BE17," - ")</f>
        <v>-0.43503649635036495</v>
      </c>
      <c r="J17" s="460">
        <f>IF(ISNUMBER((('Resol  Asuntos'!D17/NºAsuntos!G17)-Datos!BF17)/Datos!BF17),(('Resol  Asuntos'!D17/NºAsuntos!G17)-Datos!BF17)/Datos!BF17," - ")</f>
        <v>-0.43503649635036495</v>
      </c>
      <c r="K17" s="461">
        <f>IF(ISNUMBER((((NºAsuntos!C17+NºAsuntos!E17)/NºAsuntos!G17)-Datos!BG17)/Datos!BG17),(((NºAsuntos!C17+NºAsuntos!E17)/NºAsuntos!G17)-Datos!BG17)/Datos!BG17," - ")</f>
        <v>-0.18997226914863105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7.5739644970414202E-2</v>
      </c>
      <c r="C18" s="854">
        <f>IF(ISNUMBER(
   IF(Criterios!B14="SI",(Datos!J18-Datos!T18)/Datos!T18,(Datos!J18+Datos!AD18-(Datos!T18+Datos!AL18))/(Datos!T18+Datos!AL18))
     ),IF(Criterios!B14="SI",(Datos!J18-Datos!T18)/Datos!T18,(Datos!J18+Datos!AD18-(Datos!T18+Datos!AL18))/(Datos!T18+Datos!AL18))," - ")</f>
        <v>-0.18137254901960784</v>
      </c>
      <c r="D18" s="854">
        <f>IF(ISNUMBER(
   IF(Criterios!B14="SI",(Datos!K18-Datos!U18)/Datos!U18,(Datos!K18+Datos!AE18-(Datos!U18+Datos!AM18))/(Datos!U18+Datos!AM18))
     ),IF(Criterios!B14="SI",(Datos!K18-Datos!U18)/Datos!U18,(Datos!K18+Datos!AE18-(Datos!U18+Datos!AM18))/(Datos!U18+Datos!AM18))," - ")</f>
        <v>-4.791666666666667E-2</v>
      </c>
      <c r="E18" s="854">
        <f>IF(ISNUMBER(
   IF(Criterios!B14="SI",(Datos!L18-Datos!V18)/Datos!V18,(Datos!L18+Datos!AF18-(Datos!V18+Datos!AN18))/(Datos!V18+Datos!AN18))
     ),IF(Criterios!B14="SI",(Datos!L18-Datos!V18)/Datos!V18,(Datos!L18+Datos!AF18-(Datos!V18+Datos!AN18))/(Datos!V18+Datos!AN18))," - ")</f>
        <v>-8.1408140814081403E-2</v>
      </c>
      <c r="F18" s="855">
        <f>IF(ISNUMBER((Datos!M18-Datos!W18)/Datos!W18),(Datos!M18-Datos!W18)/Datos!W18," - ")</f>
        <v>0.13114754098360656</v>
      </c>
      <c r="G18" s="856">
        <f>IF(ISNUMBER((Datos!N18-Datos!X18)/Datos!X18),(Datos!N18-Datos!X18)/Datos!X18," - ")</f>
        <v>-0.21100917431192662</v>
      </c>
      <c r="H18" s="856">
        <f>IF(ISNUMBER(((NºAsuntos!G18/NºAsuntos!E18)-Datos!BD18)/Datos!BD18),((NºAsuntos!G18/NºAsuntos!E18)-Datos!BD18)/Datos!BD18," - ")</f>
        <v>0.16302395209580847</v>
      </c>
      <c r="I18" s="856">
        <f>IF(ISNUMBER(((NºAsuntos!I18/NºAsuntos!G18)-Datos!BE18)/Datos!BE18),((NºAsuntos!I18/NºAsuntos!G18)-Datos!BE18)/Datos!BE18," - ")</f>
        <v>-3.517704067999803E-2</v>
      </c>
      <c r="J18" s="856">
        <f>IF(ISNUMBER((('Resol  Asuntos'!D18/NºAsuntos!G18)-Datos!BF18)/Datos!BF18),(('Resol  Asuntos'!D18/NºAsuntos!G18)-Datos!BF18)/Datos!BF18," - ")</f>
        <v>0.18807619184273777</v>
      </c>
      <c r="K18" s="856">
        <f>IF(ISNUMBER((((NºAsuntos!C18+NºAsuntos!E18)/NºAsuntos!G18)-Datos!BG18)/Datos!BG18),(((NºAsuntos!C18+NºAsuntos!E18)/NºAsuntos!G18)-Datos!BG18)/Datos!BG18," - ")</f>
        <v>-1.7816392019288804E-2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8.6411149825783976E-2</v>
      </c>
      <c r="C19" s="801">
        <f>IF(ISNUMBER(
   IF(J_V="SI",(Datos!J19-Datos!T19)/Datos!T19,(Datos!J19+Datos!Z19-(Datos!T19+Datos!AH19))/(Datos!T19+Datos!AH19))
     ),IF(J_V="SI",(Datos!J19-Datos!T19)/Datos!T19,(Datos!J19+Datos!Z19-(Datos!T19+Datos!AH19))/(Datos!T19+Datos!AH19))," - ")</f>
        <v>-9.8710317460317457E-2</v>
      </c>
      <c r="D19" s="801">
        <f>IF(ISNUMBER(
   IF(J_V="SI",(Datos!K19-Datos!U19)/Datos!U19,(Datos!K19+Datos!AA19-(Datos!U19+Datos!AI19))/(Datos!U19+Datos!AI19))
     ),IF(J_V="SI",(Datos!K19-Datos!U19)/Datos!U19,(Datos!K19+Datos!AA19-(Datos!U19+Datos!AI19))/(Datos!U19+Datos!AI19))," - ")</f>
        <v>2.8481012658227847E-2</v>
      </c>
      <c r="E19" s="801">
        <f>IF(ISNUMBER(
   IF(J_V="SI",(Datos!L19-Datos!V19)/Datos!V19,(Datos!L19+Datos!AB19-(Datos!V19+Datos!AJ19))/(Datos!V19+Datos!AJ19))
     ),IF(J_V="SI",(Datos!L19-Datos!V19)/Datos!V19,(Datos!L19+Datos!AB19-(Datos!V19+Datos!AJ19))/(Datos!V19+Datos!AJ19))," - ")</f>
        <v>-8.2103912764592682E-2</v>
      </c>
      <c r="F19" s="802">
        <f>IF(ISNUMBER((Datos!M19-Datos!W19)/Datos!W19),(Datos!M19-Datos!W19)/Datos!W19," - ")</f>
        <v>0.29129129129129128</v>
      </c>
      <c r="G19" s="803">
        <f>IF(ISNUMBER((Datos!N19-Datos!X19)/Datos!X19),(Datos!N19-Datos!X19)/Datos!X19," - ")</f>
        <v>-5.9012875536480686E-2</v>
      </c>
      <c r="H19" s="804">
        <f>IF(ISNUMBER((Tasas!B19-Datos!BD19)/Datos!BD19),(Tasas!B19-Datos!BD19)/Datos!BD19," - ")</f>
        <v>0.14112147579470957</v>
      </c>
      <c r="I19" s="805">
        <f>IF(ISNUMBER((Tasas!C19-Datos!BE19)/Datos!BE19),(Tasas!C19-Datos!BE19)/Datos!BE19," - ")</f>
        <v>-0.10752257364188091</v>
      </c>
      <c r="J19" s="806">
        <f>IF(ISNUMBER((Tasas!D19-Datos!BF19)/Datos!BF19),(Tasas!D19-Datos!BF19)/Datos!BF19," - ")</f>
        <v>-0.1834134615384615</v>
      </c>
      <c r="K19" s="806">
        <f>IF(ISNUMBER((Tasas!E19-Datos!BG19)/Datos!BG19),(Tasas!E19-Datos!BG19)/Datos!BG19," - ")</f>
        <v>-4.8823306510933299E-2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r7tRqiJaSVt1GgN+msLHcaWt4gt/To+XlqeH+87GdeMiGth18/C8YstLXnI1nqJZUi/v1iTjLaCpsawKLlfyA==" saltValue="1RTOSmVahschq9Ddz8uJ5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BIZKAIA</v>
      </c>
    </row>
    <row r="4" spans="1:7" ht="11.25" customHeight="1" thickBot="1">
      <c r="B4" s="390" t="str">
        <f>Criterios!A11 &amp;"  "&amp;Criterios!B11</f>
        <v>Resumenes por Partidos Judiciales  BALMASEDA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2</v>
      </c>
      <c r="D10" s="443">
        <f>IF(ISNUMBER('Resol  Asuntos'!D10/NºAsuntos!G10),'Resol  Asuntos'!D10/NºAsuntos!G10," - ")</f>
        <v>0.66666666666666663</v>
      </c>
      <c r="E10" s="444">
        <f>IF(ISNUMBER((NºAsuntos!C10+NºAsuntos!E10)/NºAsuntos!G10),(NºAsuntos!C10+NºAsuntos!E10)/NºAsuntos!G10," - ")</f>
        <v>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1.0551583248212462</v>
      </c>
      <c r="C12" s="442">
        <f>IF(ISNUMBER(NºAsuntos!I12/NºAsuntos!G12),NºAsuntos!I12/NºAsuntos!G12," - ")</f>
        <v>0.57115198451113258</v>
      </c>
      <c r="D12" s="443">
        <f>IF(ISNUMBER('Resol  Asuntos'!D12/NºAsuntos!G12),'Resol  Asuntos'!D12/NºAsuntos!G12," - ")</f>
        <v>0.2807357212003872</v>
      </c>
      <c r="E12" s="444">
        <f>IF(ISNUMBER((NºAsuntos!C12+NºAsuntos!E12)/NºAsuntos!G12),(NºAsuntos!C12+NºAsuntos!E12)/NºAsuntos!G12," - ")</f>
        <v>1.5711519845111326</v>
      </c>
      <c r="G12" s="462"/>
    </row>
    <row r="13" spans="1:7" ht="14.25" thickTop="1" thickBot="1">
      <c r="A13" s="847" t="str">
        <f>Datos!A13</f>
        <v>TOTAL</v>
      </c>
      <c r="B13" s="857">
        <f>IF(ISNUMBER(NºAsuntos!G13/NºAsuntos!E13),NºAsuntos!G13/NºAsuntos!E13," - ")</f>
        <v>1.0549898167006111</v>
      </c>
      <c r="C13" s="858">
        <f>IF(ISNUMBER(NºAsuntos!I13/NºAsuntos!G13),NºAsuntos!I13/NºAsuntos!G13," - ")</f>
        <v>0.57528957528957525</v>
      </c>
      <c r="D13" s="859">
        <f>IF(ISNUMBER('Resol  Asuntos'!D13/NºAsuntos!G13),'Resol  Asuntos'!D13/NºAsuntos!G13," - ")</f>
        <v>0.28185328185328185</v>
      </c>
      <c r="E13" s="860">
        <f>IF(ISNUMBER((NºAsuntos!C13+NºAsuntos!E13)/NºAsuntos!G13),(NºAsuntos!C13+NºAsuntos!E13)/NºAsuntos!G13," - ")</f>
        <v>1.5752895752895753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1.0528455284552845</v>
      </c>
      <c r="C16" s="442">
        <f>IF(ISNUMBER(NºAsuntos!I16/NºAsuntos!G16),NºAsuntos!I16/NºAsuntos!G16," - ")</f>
        <v>0.99742599742599747</v>
      </c>
      <c r="D16" s="443">
        <f>IF(ISNUMBER('Resol  Asuntos'!D16/NºAsuntos!G16),'Resol  Asuntos'!D16/NºAsuntos!G16," - ")</f>
        <v>0.16602316602316602</v>
      </c>
      <c r="E16" s="444">
        <f>IF(ISNUMBER((NºAsuntos!C16+NºAsuntos!E16)/NºAsuntos!G16),(NºAsuntos!C16+NºAsuntos!E16)/NºAsuntos!G16," - ")</f>
        <v>1.9909909909909911</v>
      </c>
      <c r="G16" s="462"/>
    </row>
    <row r="17" spans="1:7" ht="21.75" thickBot="1">
      <c r="A17" s="401" t="str">
        <f>Datos!A17</f>
        <v>Jdos. Violencia contra la mujer/Secc Viol. TI.</v>
      </c>
      <c r="B17" s="441">
        <f>IF(ISNUMBER(NºAsuntos!G17/NºAsuntos!E17),NºAsuntos!G17/NºAsuntos!E17," - ")</f>
        <v>1.4123711340206186</v>
      </c>
      <c r="C17" s="442">
        <f>IF(ISNUMBER(NºAsuntos!I17/NºAsuntos!G17),NºAsuntos!I17/NºAsuntos!G17," - ")</f>
        <v>0.43795620437956206</v>
      </c>
      <c r="D17" s="443">
        <f>IF(ISNUMBER('Resol  Asuntos'!D17/NºAsuntos!G17),'Resol  Asuntos'!D17/NºAsuntos!G17," - ")</f>
        <v>6.569343065693431E-2</v>
      </c>
      <c r="E17" s="444">
        <f>IF(ISNUMBER((NºAsuntos!C17+NºAsuntos!E17)/NºAsuntos!G17),(NºAsuntos!C17+NºAsuntos!E17)/NºAsuntos!G17," - ")</f>
        <v>1.437956204379562</v>
      </c>
      <c r="G17" s="462"/>
    </row>
    <row r="18" spans="1:7" ht="14.25" thickTop="1" thickBot="1">
      <c r="A18" s="847" t="str">
        <f>Datos!A18</f>
        <v>TOTAL</v>
      </c>
      <c r="B18" s="857">
        <f>IF(ISNUMBER(NºAsuntos!G18/NºAsuntos!E18),NºAsuntos!G18/NºAsuntos!E18," - ")</f>
        <v>1.0946107784431138</v>
      </c>
      <c r="C18" s="858">
        <f>IF(ISNUMBER(NºAsuntos!I18/NºAsuntos!G18),NºAsuntos!I18/NºAsuntos!G18," - ")</f>
        <v>0.91356673960612689</v>
      </c>
      <c r="D18" s="861">
        <f>IF(ISNUMBER('Resol  Asuntos'!D18/NºAsuntos!G18),'Resol  Asuntos'!D18/NºAsuntos!G18," - ")</f>
        <v>0.15098468271334792</v>
      </c>
      <c r="E18" s="860">
        <f>IF(ISNUMBER((NºAsuntos!C18+NºAsuntos!E18)/NºAsuntos!G18),(NºAsuntos!C18+NºAsuntos!E18)/NºAsuntos!G18," - ")</f>
        <v>1.9080962800875274</v>
      </c>
      <c r="G18" s="462"/>
    </row>
    <row r="19" spans="1:7" ht="15.75" customHeight="1" thickTop="1" thickBot="1">
      <c r="A19" s="792" t="str">
        <f>Datos!A19</f>
        <v>TOTAL JURISDICCIONES</v>
      </c>
      <c r="B19" s="807">
        <f>IF(ISNUMBER(NºAsuntos!G19/NºAsuntos!E19),NºAsuntos!G19/NºAsuntos!E19," - ")</f>
        <v>1.0731975784259769</v>
      </c>
      <c r="C19" s="808">
        <f>IF(ISNUMBER(NºAsuntos!I19/NºAsuntos!G19),NºAsuntos!I19/NºAsuntos!G19," - ")</f>
        <v>0.73384615384615381</v>
      </c>
      <c r="D19" s="809">
        <f>IF(ISNUMBER('Resol  Asuntos'!D19/NºAsuntos!G19),'Resol  Asuntos'!D19/NºAsuntos!G19," - ")</f>
        <v>0.22051282051282051</v>
      </c>
      <c r="E19" s="810">
        <f>IF(ISNUMBER((NºAsuntos!C19+NºAsuntos!E19)/NºAsuntos!G19),(NºAsuntos!C19+NºAsuntos!E19)/NºAsuntos!G19," - ")</f>
        <v>1.7312820512820513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770bElendHZVw++5Ai0wZGoqCqwcgk3X8lszf+rM1ON0YBZrHruRk0rXtfb/A8uhAaDQxgs4mt8enceQm2wg==" saltValue="UxyDjwWMtd1+S562eDLA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BIZKAIA</v>
      </c>
      <c r="N2" s="261" t="str">
        <f>Criterios!A11 &amp;"  "&amp;Criterios!B11</f>
        <v>Resumenes por Partidos Judiciales  BALMASEDA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6</v>
      </c>
      <c r="AB10" s="333">
        <f>IF(ISNUMBER(Datos!R10),Datos!R10," - ")</f>
        <v>4</v>
      </c>
      <c r="AC10" s="333">
        <f t="shared" ref="AC10:AC12" si="1">IF(ISNUMBER(AA10+AB10),AA10+AB10," - ")</f>
        <v>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22</v>
      </c>
      <c r="AN10" s="243">
        <f>IF(ISNUMBER('Resol  Asuntos'!D10/NºAsuntos!G10),'Resol  Asuntos'!D10/NºAsuntos!G10," - ")</f>
        <v>0.66666666666666663</v>
      </c>
      <c r="AO10" s="244">
        <f>IF(ISNUMBER((NºAsuntos!C10+NºAsuntos!E10)/NºAsuntos!G10),(NºAsuntos!C10+NºAsuntos!E10)/NºAsuntos!G10," - ")</f>
        <v>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182</v>
      </c>
      <c r="Y12" s="333">
        <f t="shared" si="0"/>
        <v>182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616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290</v>
      </c>
      <c r="AJ12" s="228" t="str">
        <f>IF(ISNUMBER(Datos!BW12),Datos!BW12," - ")</f>
        <v xml:space="preserve"> - </v>
      </c>
      <c r="AK12" s="227" t="str">
        <f>IF(ISNUMBER(Datos!BX12),Datos!BX12," - ")</f>
        <v xml:space="preserve"> - </v>
      </c>
      <c r="AL12" s="242">
        <f>IF(ISNUMBER(NºAsuntos!G12/NºAsuntos!E12),NºAsuntos!G12/NºAsuntos!E12," - ")</f>
        <v>1.0551583248212462</v>
      </c>
      <c r="AM12" s="259">
        <f>IF(ISNUMBER(((NºAsuntos!I12/NºAsuntos!G12)*11)/factor_trimestre),((NºAsuntos!I12/NºAsuntos!G12)*11)/factor_trimestre," - ")</f>
        <v>6.2826718296224584</v>
      </c>
      <c r="AN12" s="243">
        <f>IF(ISNUMBER('Resol  Asuntos'!D12/NºAsuntos!G12),'Resol  Asuntos'!D12/NºAsuntos!G12," - ")</f>
        <v>0.2807357212003872</v>
      </c>
      <c r="AO12" s="244">
        <f>IF(ISNUMBER((NºAsuntos!C12+NºAsuntos!E12)/NºAsuntos!G12),(NºAsuntos!C12+NºAsuntos!E12)/NºAsuntos!G12," - ")</f>
        <v>1.5711519845111326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6</v>
      </c>
      <c r="G13" s="865">
        <f t="shared" si="3"/>
        <v>6</v>
      </c>
      <c r="H13" s="864">
        <f t="shared" si="3"/>
        <v>0</v>
      </c>
      <c r="I13" s="866">
        <f t="shared" si="3"/>
        <v>0</v>
      </c>
      <c r="J13" s="866">
        <f t="shared" si="3"/>
        <v>0</v>
      </c>
      <c r="K13" s="866">
        <f t="shared" si="3"/>
        <v>0</v>
      </c>
      <c r="L13" s="866">
        <f t="shared" si="3"/>
        <v>212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182</v>
      </c>
      <c r="Y13" s="867">
        <f t="shared" si="4"/>
        <v>185</v>
      </c>
      <c r="Z13" s="867">
        <f t="shared" si="4"/>
        <v>0</v>
      </c>
      <c r="AA13" s="867">
        <f t="shared" si="4"/>
        <v>6</v>
      </c>
      <c r="AB13" s="867">
        <f t="shared" si="4"/>
        <v>620</v>
      </c>
      <c r="AC13" s="867">
        <f t="shared" si="4"/>
        <v>10</v>
      </c>
      <c r="AD13" s="867">
        <f t="shared" si="4"/>
        <v>0</v>
      </c>
      <c r="AE13" s="871">
        <f t="shared" si="4"/>
        <v>0</v>
      </c>
      <c r="AF13" s="864">
        <f t="shared" si="4"/>
        <v>0</v>
      </c>
      <c r="AG13" s="872">
        <f t="shared" si="4"/>
        <v>0</v>
      </c>
      <c r="AH13" s="869">
        <f t="shared" si="4"/>
        <v>0</v>
      </c>
      <c r="AI13" s="864">
        <f t="shared" si="4"/>
        <v>292</v>
      </c>
      <c r="AJ13" s="866">
        <f t="shared" si="4"/>
        <v>0</v>
      </c>
      <c r="AK13" s="869">
        <f>SUBTOTAL(9,AK9:AK12)</f>
        <v>0</v>
      </c>
      <c r="AL13" s="873">
        <f>IF(ISNUMBER(NºAsuntos!G13/NºAsuntos!E13),NºAsuntos!G13/NºAsuntos!E13," - ")</f>
        <v>1.0549898167006111</v>
      </c>
      <c r="AM13" s="873">
        <f>IF(ISNUMBER(((NºAsuntos!I13/NºAsuntos!G13)*11)/factor_trimestre),((NºAsuntos!I13/NºAsuntos!G13)*11)/factor_trimestre," - ")</f>
        <v>6.3281853281853273</v>
      </c>
      <c r="AN13" s="874">
        <f>IF(ISNUMBER('Resol  Asuntos'!D13/NºAsuntos!G13),'Resol  Asuntos'!D13/NºAsuntos!G13," - ")</f>
        <v>0.28185328185328185</v>
      </c>
      <c r="AO13" s="875">
        <f>IF(ISNUMBER((NºAsuntos!C13+NºAsuntos!E13)/NºAsuntos!G13),(NºAsuntos!C13+NºAsuntos!E13)/NºAsuntos!G13," - ")</f>
        <v>1.5752895752895753</v>
      </c>
      <c r="AP13" s="876" t="str">
        <f t="shared" si="2"/>
        <v xml:space="preserve"> - </v>
      </c>
      <c r="AQ13" s="876">
        <f>IF(ISNUMBER((H13-W13+K13)/(F13)),(H13-W13+K13)/(F13)," - ")</f>
        <v>-0.5</v>
      </c>
      <c r="AR13" s="877">
        <f>IF(ISNUMBER((Datos!P13-Datos!Q13)/(Datos!R13-Datos!P13+Datos!Q13)),(Datos!P13-Datos!Q13)/(Datos!R13-Datos!P13+Datos!Q13)," - ")</f>
        <v>5.0847457627118647E-2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814</v>
      </c>
      <c r="G16" s="332">
        <f>IF(ISNUMBER(IF(D_I="SI",Datos!I16,Datos!I16+Datos!AC16)),IF(D_I="SI",Datos!I16,Datos!I16+Datos!AC16)," - ")</f>
        <v>809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777</v>
      </c>
      <c r="X16" s="225">
        <f>IF(ISNUMBER(Datos!Q16),Datos!Q16," - ")</f>
        <v>30</v>
      </c>
      <c r="Y16" s="333">
        <f t="shared" ref="Y16:Y17" si="7">SUM(W16:X16)</f>
        <v>807</v>
      </c>
      <c r="Z16" s="334" t="str">
        <f>IF(ISNUMBER(Datos!CC16),Datos!CC16," - ")</f>
        <v xml:space="preserve"> - </v>
      </c>
      <c r="AA16" s="331">
        <f>IF(ISNUMBER(IF(D_I="SI",Datos!L16,Datos!L16+Datos!AF16)),IF(D_I="SI",Datos!L16,Datos!L16+Datos!AF16)," - ")</f>
        <v>775</v>
      </c>
      <c r="AB16" s="333">
        <f>IF(ISNUMBER(Datos!R16),Datos!R16," - ")</f>
        <v>63</v>
      </c>
      <c r="AC16" s="333">
        <f t="shared" si="6"/>
        <v>838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129</v>
      </c>
      <c r="AJ16" s="230" t="str">
        <f>IF(ISNUMBER(Datos!BW16),Datos!BW16," - ")</f>
        <v xml:space="preserve"> - </v>
      </c>
      <c r="AK16" s="231" t="str">
        <f>IF(ISNUMBER(Datos!BX16),Datos!BX16," - ")</f>
        <v xml:space="preserve"> - </v>
      </c>
      <c r="AL16" s="242">
        <f>IF(ISNUMBER(NºAsuntos!G16/NºAsuntos!E16),NºAsuntos!G16/NºAsuntos!E16," - ")</f>
        <v>1.0528455284552845</v>
      </c>
      <c r="AM16" s="259">
        <f>IF(ISNUMBER(((NºAsuntos!I16/NºAsuntos!G16)*11)/factor_trimestre),((NºAsuntos!I16/NºAsuntos!G16)*11)/factor_trimestre," - ")</f>
        <v>10.971685971685972</v>
      </c>
      <c r="AN16" s="243">
        <f>IF(ISNUMBER('Resol  Asuntos'!D16/NºAsuntos!G16),'Resol  Asuntos'!D16/NºAsuntos!G16," - ")</f>
        <v>0.16602316602316602</v>
      </c>
      <c r="AO16" s="244">
        <f>IF(ISNUMBER((NºAsuntos!C16+NºAsuntos!E16)/NºAsuntos!G16),(NºAsuntos!C16+NºAsuntos!E16)/NºAsuntos!G16," - ")</f>
        <v>1.9909909909909911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137</v>
      </c>
      <c r="X17" s="225">
        <f>IF(ISNUMBER(Datos!Q17),Datos!Q17," - ")</f>
        <v>1</v>
      </c>
      <c r="Y17" s="333">
        <f t="shared" si="7"/>
        <v>138</v>
      </c>
      <c r="Z17" s="334" t="str">
        <f>IF(ISNUMBER(Datos!CC17),Datos!CC17," - ")</f>
        <v xml:space="preserve"> - </v>
      </c>
      <c r="AA17" s="331">
        <f>IF(ISNUMBER(Datos!L17),Datos!L17,"-")</f>
        <v>60</v>
      </c>
      <c r="AB17" s="333">
        <f>IF(ISNUMBER(Datos!R17),Datos!R17," - ")</f>
        <v>0</v>
      </c>
      <c r="AC17" s="333">
        <f t="shared" si="6"/>
        <v>60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v>
      </c>
      <c r="AJ17" s="230" t="str">
        <f>IF(ISNUMBER(Datos!BW17),Datos!BW17," - ")</f>
        <v xml:space="preserve"> - </v>
      </c>
      <c r="AK17" s="231" t="str">
        <f>IF(ISNUMBER(Datos!BX17),Datos!BX17," - ")</f>
        <v xml:space="preserve"> - </v>
      </c>
      <c r="AL17" s="242">
        <f>IF(ISNUMBER(NºAsuntos!G17/NºAsuntos!E17),NºAsuntos!G17/NºAsuntos!E17," - ")</f>
        <v>1.4123711340206186</v>
      </c>
      <c r="AM17" s="259">
        <f>IF(ISNUMBER(((NºAsuntos!I17/NºAsuntos!G17)*11)/factor_trimestre),((NºAsuntos!I17/NºAsuntos!G17)*11)/factor_trimestre," - ")</f>
        <v>4.8175182481751824</v>
      </c>
      <c r="AN17" s="243">
        <f>IF(ISNUMBER('Resol  Asuntos'!D17/NºAsuntos!G17),'Resol  Asuntos'!D17/NºAsuntos!G17," - ")</f>
        <v>6.569343065693431E-2</v>
      </c>
      <c r="AO17" s="244">
        <f>IF(ISNUMBER((NºAsuntos!C17+NºAsuntos!E17)/NºAsuntos!G17),(NºAsuntos!C17+NºAsuntos!E17)/NºAsuntos!G17," - ")</f>
        <v>1.437956204379562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814</v>
      </c>
      <c r="G18" s="865">
        <f>SUBTOTAL(9,G15:G17)</f>
        <v>909</v>
      </c>
      <c r="H18" s="864">
        <f t="shared" ref="H18:O18" si="10">SUBTOTAL(9,H14:H17)</f>
        <v>0</v>
      </c>
      <c r="I18" s="866">
        <f t="shared" si="10"/>
        <v>0</v>
      </c>
      <c r="J18" s="866">
        <f t="shared" si="10"/>
        <v>0</v>
      </c>
      <c r="K18" s="866">
        <f t="shared" si="10"/>
        <v>0</v>
      </c>
      <c r="L18" s="866">
        <f t="shared" si="10"/>
        <v>29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914</v>
      </c>
      <c r="X18" s="866">
        <f t="shared" si="11"/>
        <v>31</v>
      </c>
      <c r="Y18" s="867">
        <f t="shared" si="11"/>
        <v>945</v>
      </c>
      <c r="Z18" s="867">
        <f t="shared" si="11"/>
        <v>0</v>
      </c>
      <c r="AA18" s="867">
        <f t="shared" si="11"/>
        <v>835</v>
      </c>
      <c r="AB18" s="867">
        <f t="shared" si="11"/>
        <v>63</v>
      </c>
      <c r="AC18" s="867">
        <f t="shared" si="11"/>
        <v>898</v>
      </c>
      <c r="AD18" s="867">
        <f t="shared" si="11"/>
        <v>0</v>
      </c>
      <c r="AE18" s="871">
        <f t="shared" si="11"/>
        <v>0</v>
      </c>
      <c r="AF18" s="864">
        <f t="shared" si="11"/>
        <v>0</v>
      </c>
      <c r="AG18" s="872">
        <f t="shared" si="11"/>
        <v>0</v>
      </c>
      <c r="AH18" s="869">
        <f t="shared" si="11"/>
        <v>0</v>
      </c>
      <c r="AI18" s="864">
        <f t="shared" si="11"/>
        <v>138</v>
      </c>
      <c r="AJ18" s="866">
        <f t="shared" si="11"/>
        <v>0</v>
      </c>
      <c r="AK18" s="869">
        <f t="shared" si="11"/>
        <v>0</v>
      </c>
      <c r="AL18" s="873">
        <f>IF(ISNUMBER(NºAsuntos!G18/NºAsuntos!E18),NºAsuntos!G18/NºAsuntos!E18," - ")</f>
        <v>1.0946107784431138</v>
      </c>
      <c r="AM18" s="873">
        <f>IF(ISNUMBER(((NºAsuntos!I18/NºAsuntos!G18)*11)/factor_trimestre),((NºAsuntos!I18/NºAsuntos!G18)*11)/factor_trimestre," - ")</f>
        <v>10.049234135667396</v>
      </c>
      <c r="AN18" s="874">
        <f>IF(ISNUMBER('Resol  Asuntos'!D18/NºAsuntos!G18),'Resol  Asuntos'!D18/NºAsuntos!G18," - ")</f>
        <v>0.15098468271334792</v>
      </c>
      <c r="AO18" s="875">
        <f>IF(ISNUMBER((NºAsuntos!C18+NºAsuntos!E18)/NºAsuntos!G18),(NºAsuntos!C18+NºAsuntos!E18)/NºAsuntos!G18," - ")</f>
        <v>1.9080962800875274</v>
      </c>
      <c r="AP18" s="876" t="str">
        <f t="shared" si="2"/>
        <v xml:space="preserve"> - </v>
      </c>
      <c r="AQ18" s="876">
        <f>IF(ISNUMBER((H18-W18+K18)/(F18)),(H18-W18+K18)/(F18)," - ")</f>
        <v>-1.1228501228501229</v>
      </c>
      <c r="AR18" s="877">
        <f>IF(ISNUMBER((Datos!P18-Datos!Q18)/(Datos!R18-Datos!P18+Datos!Q18)),(Datos!P18-Datos!Q18)/(Datos!R18-Datos!P18+Datos!Q18)," - ")</f>
        <v>-3.0769230769230771E-2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820</v>
      </c>
      <c r="G19" s="820">
        <f t="shared" si="13"/>
        <v>915</v>
      </c>
      <c r="H19" s="819">
        <f t="shared" si="13"/>
        <v>0</v>
      </c>
      <c r="I19" s="821">
        <f t="shared" si="13"/>
        <v>0</v>
      </c>
      <c r="J19" s="821">
        <f t="shared" si="13"/>
        <v>0</v>
      </c>
      <c r="K19" s="880">
        <f t="shared" si="13"/>
        <v>0</v>
      </c>
      <c r="L19" s="821">
        <f t="shared" si="13"/>
        <v>241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917</v>
      </c>
      <c r="X19" s="820">
        <f t="shared" si="14"/>
        <v>213</v>
      </c>
      <c r="Y19" s="827">
        <f t="shared" si="14"/>
        <v>1130</v>
      </c>
      <c r="Z19" s="827">
        <f t="shared" si="14"/>
        <v>0</v>
      </c>
      <c r="AA19" s="827">
        <f t="shared" si="14"/>
        <v>841</v>
      </c>
      <c r="AB19" s="827">
        <f t="shared" si="14"/>
        <v>683</v>
      </c>
      <c r="AC19" s="827">
        <f t="shared" si="14"/>
        <v>908</v>
      </c>
      <c r="AD19" s="827">
        <f t="shared" si="14"/>
        <v>0</v>
      </c>
      <c r="AE19" s="829">
        <f t="shared" si="14"/>
        <v>0</v>
      </c>
      <c r="AF19" s="830">
        <f t="shared" si="14"/>
        <v>0</v>
      </c>
      <c r="AG19" s="831">
        <f t="shared" si="14"/>
        <v>0</v>
      </c>
      <c r="AH19" s="829">
        <f t="shared" si="14"/>
        <v>0</v>
      </c>
      <c r="AI19" s="819">
        <f t="shared" si="14"/>
        <v>430</v>
      </c>
      <c r="AJ19" s="819">
        <f t="shared" si="14"/>
        <v>0</v>
      </c>
      <c r="AK19" s="829">
        <f t="shared" si="14"/>
        <v>0</v>
      </c>
      <c r="AL19" s="883">
        <f>IF(ISNUMBER(NºAsuntos!G19/NºAsuntos!E19),NºAsuntos!G19/NºAsuntos!E19," - ")</f>
        <v>1.0731975784259769</v>
      </c>
      <c r="AM19" s="884">
        <f>IF(ISNUMBER(((NºAsuntos!I19/NºAsuntos!G19)*11)/factor_trimestre),((NºAsuntos!I19/NºAsuntos!G19)*11)/factor_trimestre," - ")</f>
        <v>8.0723076923076924</v>
      </c>
      <c r="AN19" s="884">
        <f>IF(ISNUMBER('Resol  Asuntos'!D19/NºAsuntos!G19),'Resol  Asuntos'!D19/NºAsuntos!G19," - ")</f>
        <v>0.22051282051282051</v>
      </c>
      <c r="AO19" s="885">
        <f>IF(ISNUMBER((NºAsuntos!C19+NºAsuntos!E19)/NºAsuntos!G19),(NºAsuntos!C19+NºAsuntos!E19)/NºAsuntos!G19," - ")</f>
        <v>1.7312820512820513</v>
      </c>
      <c r="AP19" s="886" t="str">
        <f t="shared" si="2"/>
        <v xml:space="preserve"> - </v>
      </c>
      <c r="AQ19" s="887">
        <f>IF(OR(ISNUMBER(FIND("01",Criterios!A8,1)),ISNUMBER(FIND("02",Criterios!A8,1)),ISNUMBER(FIND("03",Criterios!A8,1)),ISNUMBER(FIND("04",Criterios!A8,1))),(I19-W19+K19)/(F19-K19),(H19-W19+K19)/(F19-K19))</f>
        <v>-1.1182926829268294</v>
      </c>
      <c r="AR19" s="888">
        <f>IF(ISNUMBER((Datos!P19-Datos!Q19)/(Datos!R19-Datos!P19+Datos!Q19)),(Datos!P19-Datos!Q19)/(Datos!R19-Datos!P19+Datos!Q19)," - ")</f>
        <v>4.2748091603053436E-2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366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466.49901750521764</v>
      </c>
      <c r="G21" s="252">
        <f>IF(ISNUMBER(STDEV(G8:G18)),STDEV(G8:G18),"-")</f>
        <v>453.06015053191339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443.05778404176584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127.95884755133842</v>
      </c>
      <c r="AJ21" s="251">
        <f t="shared" si="18"/>
        <v>0</v>
      </c>
      <c r="AK21" s="253">
        <f t="shared" si="18"/>
        <v>0</v>
      </c>
      <c r="AL21" s="248">
        <f t="shared" si="18"/>
        <v>0.15036549383117731</v>
      </c>
      <c r="AM21" s="249">
        <f t="shared" si="18"/>
        <v>6.3098624713443927</v>
      </c>
      <c r="AN21" s="249">
        <f t="shared" si="18"/>
        <v>0.21180482558068658</v>
      </c>
      <c r="AO21" s="250">
        <f t="shared" si="18"/>
        <v>0.57345368274784858</v>
      </c>
      <c r="AP21" s="290" t="str">
        <f t="shared" si="18"/>
        <v>-</v>
      </c>
      <c r="AQ21" s="291">
        <f t="shared" si="18"/>
        <v>0.44042154553019591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s0lfOs5zr1vEdFemv63ePpWGC7XOgkI5J8v1Uyn6HLYe75HDD14oBdkYF9zoNg7fABTVCSmFDR3NP22kao7IKw==" saltValue="OfyS85Ppes7iL0OQQSktS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BIZKAIA</v>
      </c>
      <c r="E3" s="262"/>
    </row>
    <row r="4" spans="2:20" ht="17.25" customHeight="1" thickBot="1">
      <c r="D4" s="261" t="str">
        <f>Criterios!A11 &amp;"  "&amp;Criterios!B11</f>
        <v>Resumenes por Partidos Judiciales  BALMASEDA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-0.25</v>
      </c>
      <c r="F10" s="347">
        <f>IF(ISNUMBER((Datos!K10-Datos!U10)/Datos!U10),(Datos!K10-Datos!U10)/Datos!U10," - ")</f>
        <v>-0.25</v>
      </c>
      <c r="G10" s="348">
        <f>IF(ISNUMBER((Datos!L10-Datos!V10)/Datos!V10),(Datos!L10-Datos!V10)/Datos!V10," - ")</f>
        <v>0</v>
      </c>
      <c r="H10" s="229">
        <f>IF(ISNUMBER((Datos!M10-Datos!W10)/Datos!W10),(Datos!M10-Datos!W10)/Datos!W10," - ")</f>
        <v>-0.33333333333333331</v>
      </c>
      <c r="I10" s="349">
        <f>IF(ISNUMBER((Tasas!C10-Datos!BE10)/Datos!BE10),(Tasas!C10-Datos!BE10)/Datos!BE10," - ")</f>
        <v>0.33333333333333331</v>
      </c>
      <c r="J10" s="348">
        <f>IF(ISNUMBER((Tasas!D10-Datos!BF10)/Datos!BF10),(Tasas!D10-Datos!BF10)/Datos!BF10," - ")</f>
        <v>-0.11111111111111116</v>
      </c>
      <c r="K10" s="350">
        <f>IF(ISNUMBER((Tasas!E10-Datos!BG10)/Datos!BG10),(Tasas!E10-Datos!BG10)/Datos!BG10," - ")</f>
        <v>0.2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0.39423076923076922</v>
      </c>
      <c r="I12" s="349">
        <f>IF(ISNUMBER((Tasas!C12-Datos!BE12)/Datos!BE12),(Tasas!C12-Datos!BE12)/Datos!BE12," - ")</f>
        <v>-0.17342600999320562</v>
      </c>
      <c r="J12" s="348">
        <f>IF(ISNUMBER((Tasas!D12-Datos!BF12)/Datos!BF12),(Tasas!D12-Datos!BF12)/Datos!BF12," - ")</f>
        <v>-0.32391294015824068</v>
      </c>
      <c r="K12" s="350">
        <f>IF(ISNUMBER((Tasas!E12-Datos!BG12)/Datos!BG12),(Tasas!E12-Datos!BG12)/Datos!BG12," - ")</f>
        <v>-7.0866973626665233E-2</v>
      </c>
      <c r="M12" t="e">
        <f>IF(Monitorios="SI",Datos!CE12,0)</f>
        <v>#REF!</v>
      </c>
      <c r="N12" t="e">
        <f>IF(Monitorios="SI",Datos!CF12,0)</f>
        <v>#REF!</v>
      </c>
      <c r="O12" t="e">
        <f>IF(Monitorios="SI",Datos!CG12,0)</f>
        <v>#REF!</v>
      </c>
      <c r="P12" t="e">
        <f>IF(Monitorios="SI",Datos!CH12,0)</f>
        <v>#REF!</v>
      </c>
      <c r="Q12">
        <f>IF(J_V="SI",0,Datos!AG12)</f>
        <v>28</v>
      </c>
      <c r="R12">
        <f>IF(J_V="SI",0,Datos!AH12)</f>
        <v>112</v>
      </c>
      <c r="S12">
        <f>IF(J_V="SI",0,Datos!AI12)</f>
        <v>127</v>
      </c>
      <c r="T12">
        <f>IF(J_V="SI",0,Datos!AJ12)</f>
        <v>13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0.38388625592417064</v>
      </c>
      <c r="I13" s="356">
        <f>IF(ISNUMBER((Tasas!C13-Datos!BE13)/Datos!BE13),(Tasas!C13-Datos!BE13)/Datos!BE13," - ")</f>
        <v>-0.17158301158301162</v>
      </c>
      <c r="J13" s="354">
        <f>IF(ISNUMBER((Tasas!D13-Datos!BF13)/Datos!BF13),(Tasas!D13-Datos!BF13)/Datos!BF13," - ")</f>
        <v>-0.32355212355212359</v>
      </c>
      <c r="K13" s="357">
        <f>IF(ISNUMBER((Tasas!E13-Datos!BG13)/Datos!BG13),(Tasas!E13-Datos!BG13)/Datos!BG13," - ")</f>
        <v>-7.032090638648017E-2</v>
      </c>
      <c r="M13" t="e">
        <f>IF(Monitorios="SI",Datos!CE13,0)</f>
        <v>#REF!</v>
      </c>
      <c r="N13" t="e">
        <f>IF(Monitorios="SI",Datos!CF13,0)</f>
        <v>#REF!</v>
      </c>
      <c r="O13" t="e">
        <f>IF(Monitorios="SI",Datos!CG13,0)</f>
        <v>#REF!</v>
      </c>
      <c r="P13" t="e">
        <f>IF(Monitorios="SI",Datos!CH13,0)</f>
        <v>#REF!</v>
      </c>
      <c r="Q13">
        <f>IF(J_V="SI",0,Datos!AG13)</f>
        <v>28</v>
      </c>
      <c r="R13">
        <f>IF(J_V="SI",0,Datos!AH13)</f>
        <v>112</v>
      </c>
      <c r="S13">
        <f>IF(J_V="SI",0,Datos!AI13)</f>
        <v>127</v>
      </c>
      <c r="T13">
        <f>IF(J_V="SI",0,Datos!AJ13)</f>
        <v>13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7.7230359520639141E-2</v>
      </c>
      <c r="E16" s="347">
        <f>IF(ISNUMBER(
   IF(D_I="SI",(Datos!J16-Datos!T16)/Datos!T16,(Datos!J16+Datos!AD16-(Datos!T16+Datos!AL16))/(Datos!T16+Datos!AL16))
     ),IF(D_I="SI",(Datos!J16-Datos!T16)/Datos!T16,(Datos!J16+Datos!AD16-(Datos!T16+Datos!AL16))/(Datos!T16+Datos!AL16))," - ")</f>
        <v>-0.16610169491525423</v>
      </c>
      <c r="F16" s="347">
        <f>IF(ISNUMBER(
   IF(D_I="SI",(Datos!K16-Datos!U16)/Datos!U16,(Datos!K16+Datos!AE16-(Datos!U16+Datos!AM16))/(Datos!U16+Datos!AM16))
     ),IF(D_I="SI",(Datos!K16-Datos!U16)/Datos!U16,(Datos!K16+Datos!AE16-(Datos!U16+Datos!AM16))/(Datos!U16+Datos!AM16))," - ")</f>
        <v>-6.4981949458483748E-2</v>
      </c>
      <c r="G16" s="348">
        <f>IF(ISNUMBER(
   IF(D_I="SI",(Datos!L16-Datos!V16)/Datos!V16,(Datos!L16+Datos!AF16-(Datos!V16+Datos!AN16))/(Datos!V16+Datos!AN16))
     ),IF(D_I="SI",(Datos!L16-Datos!V16)/Datos!V16,(Datos!L16+Datos!AF16-(Datos!V16+Datos!AN16))/(Datos!V16+Datos!AN16))," - ")</f>
        <v>-4.2027194066749075E-2</v>
      </c>
      <c r="H16" s="229">
        <f>IF(ISNUMBER((Datos!M16-Datos!W16)/Datos!W16),(Datos!M16-Datos!W16)/Datos!W16," - ")</f>
        <v>0.20560747663551401</v>
      </c>
      <c r="I16" s="349">
        <f>IF(ISNUMBER((Tasas!C16-Datos!BE16)/Datos!BE16),(Tasas!C16-Datos!BE16)/Datos!BE16," - ")</f>
        <v>2.4550066577260693E-2</v>
      </c>
      <c r="J16" s="348">
        <f>IF(ISNUMBER((Tasas!D16-Datos!BF16)/Datos!BF16),(Tasas!D16-Datos!BF16)/Datos!BF16," - ")</f>
        <v>0.28939486883412113</v>
      </c>
      <c r="K16" s="350">
        <f>IF(ISNUMBER((Tasas!E16-Datos!BG16)/Datos!BG16),(Tasas!E16-Datos!BG16)/Datos!BG16," - ")</f>
        <v>1.1316328553492377E-2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6.3829787234042548E-2</v>
      </c>
      <c r="E17" s="347">
        <f>IF(ISNUMBER(
   IF(D_I="SI",(Datos!J17-Datos!T17)/Datos!T17,(Datos!J17+Datos!AD17-(Datos!T17+Datos!AL17))/(Datos!T17+Datos!AL17))
     ),IF(D_I="SI",(Datos!J17-Datos!T17)/Datos!T17,(Datos!J17+Datos!AD17-(Datos!T17+Datos!AL17))/(Datos!T17+Datos!AL17))," - ")</f>
        <v>-0.2814814814814815</v>
      </c>
      <c r="F17" s="347">
        <f>IF(ISNUMBER(
   IF(D_I="SI",(Datos!K17-Datos!U17)/Datos!U17,(Datos!K17+Datos!AE17-(Datos!U17+Datos!AM17))/(Datos!U17+Datos!AM17))
     ),IF(D_I="SI",(Datos!K17-Datos!U17)/Datos!U17,(Datos!K17+Datos!AE17-(Datos!U17+Datos!AM17))/(Datos!U17+Datos!AM17))," - ")</f>
        <v>6.2015503875968991E-2</v>
      </c>
      <c r="G17" s="348">
        <f>IF(ISNUMBER(
   IF(D_I="SI",(Datos!L17-Datos!V17)/Datos!V17,(Datos!L17+Datos!AF17-(Datos!V17+Datos!AN17))/(Datos!V17+Datos!AN17))
     ),IF(D_I="SI",(Datos!L17-Datos!V17)/Datos!V17,(Datos!L17+Datos!AF17-(Datos!V17+Datos!AN17))/(Datos!V17+Datos!AN17))," - ")</f>
        <v>-0.4</v>
      </c>
      <c r="H17" s="229">
        <f>IF(ISNUMBER((Datos!M17-Datos!W17)/Datos!W17),(Datos!M17-Datos!W17)/Datos!W17," - ")</f>
        <v>-0.4</v>
      </c>
      <c r="I17" s="349">
        <f>IF(ISNUMBER((Tasas!C17-Datos!BE17)/Datos!BE17),(Tasas!C17-Datos!BE17)/Datos!BE17," - ")</f>
        <v>-0.43503649635036495</v>
      </c>
      <c r="J17" s="348">
        <f>IF(ISNUMBER((Tasas!D17-Datos!BF17)/Datos!BF17),(Tasas!D17-Datos!BF17)/Datos!BF17," - ")</f>
        <v>-0.43503649635036495</v>
      </c>
      <c r="K17" s="350">
        <f>IF(ISNUMBER((Tasas!E17-Datos!BG17)/Datos!BG17),(Tasas!E17-Datos!BG17)/Datos!BG17," - ")</f>
        <v>-0.18997226914863105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7.5739644970414202E-2</v>
      </c>
      <c r="E18" s="353">
        <f>IF(ISNUMBER(
   IF(D_I="SI",(Datos!J18-Datos!T18)/Datos!T18,(Datos!J18+Datos!AD18-(Datos!T18+Datos!AL18))/(Datos!T18+Datos!AL18))
     ),IF(D_I="SI",(Datos!J18-Datos!T18)/Datos!T18,(Datos!J18+Datos!AD18-(Datos!T18+Datos!AL18))/(Datos!T18+Datos!AL18))," - ")</f>
        <v>-0.18137254901960784</v>
      </c>
      <c r="F18" s="353">
        <f>IF(ISNUMBER(
   IF(D_I="SI",(Datos!K18-Datos!U18)/Datos!U18,(Datos!K18+Datos!AE18-(Datos!U18+Datos!AM18))/(Datos!U18+Datos!AM18))
     ),IF(D_I="SI",(Datos!K18-Datos!U18)/Datos!U18,(Datos!K18+Datos!AE18-(Datos!U18+Datos!AM18))/(Datos!U18+Datos!AM18))," - ")</f>
        <v>-4.791666666666667E-2</v>
      </c>
      <c r="G18" s="354">
        <f>IF(ISNUMBER(
   IF(D_I="SI",(Datos!L18-Datos!V18)/Datos!V18,(Datos!L18+Datos!AF18-(Datos!V18+Datos!AN18))/(Datos!V18+Datos!AN18))
     ),IF(D_I="SI",(Datos!L18-Datos!V18)/Datos!V18,(Datos!L18+Datos!AF18-(Datos!V18+Datos!AN18))/(Datos!V18+Datos!AN18))," - ")</f>
        <v>-8.1408140814081403E-2</v>
      </c>
      <c r="H18" s="355">
        <f>IF(ISNUMBER((Datos!M18-Datos!W18)/Datos!W18),(Datos!M18-Datos!W18)/Datos!W18," - ")</f>
        <v>0.13114754098360656</v>
      </c>
      <c r="I18" s="356">
        <f>IF(ISNUMBER((Tasas!C18-Datos!BE18)/Datos!BE18),(Tasas!C18-Datos!BE18)/Datos!BE18," - ")</f>
        <v>-3.517704067999803E-2</v>
      </c>
      <c r="J18" s="354">
        <f>IF(ISNUMBER((Tasas!D18-Datos!BF18)/Datos!BF18),(Tasas!D18-Datos!BF18)/Datos!BF18," - ")</f>
        <v>0.18807619184273777</v>
      </c>
      <c r="K18" s="357">
        <f>IF(ISNUMBER((Tasas!E18-Datos!BG18)/Datos!BG18),(Tasas!E18-Datos!BG18)/Datos!BG18," - ")</f>
        <v>-1.7816392019288804E-2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8.6411149825783976E-2</v>
      </c>
      <c r="E19" s="362">
        <f>IF(ISNUMBER(
   IF(J_V="SI",(Datos!J19-Datos!T19)/Datos!T19,(Datos!J19+Datos!Z19-(Datos!T19+Datos!AH19))/(Datos!T19+Datos!AH19))
     ),IF(J_V="SI",(Datos!J19-Datos!T19)/Datos!T19,(Datos!J19+Datos!Z19-(Datos!T19+Datos!AH19))/(Datos!T19+Datos!AH19))," - ")</f>
        <v>-9.8710317460317457E-2</v>
      </c>
      <c r="F19" s="362">
        <f>IF(ISNUMBER(
   IF(J_V="SI",(Datos!K19-Datos!U19)/Datos!U19,(Datos!K19+Datos!AA19-(Datos!U19+Datos!AI19))/(Datos!U19+Datos!AI19))
     ),IF(J_V="SI",(Datos!K19-Datos!U19)/Datos!U19,(Datos!K19+Datos!AA19-(Datos!U19+Datos!AI19))/(Datos!U19+Datos!AI19))," - ")</f>
        <v>2.8481012658227847E-2</v>
      </c>
      <c r="G19" s="363">
        <f>IF(ISNUMBER(
   IF(J_V="SI",(Datos!L19-Datos!V19)/Datos!V19,(Datos!L19+Datos!AB19-(Datos!V19+Datos!AJ19))/(Datos!V19+Datos!AJ19))
     ),IF(J_V="SI",(Datos!L19-Datos!V19)/Datos!V19,(Datos!L19+Datos!AB19-(Datos!V19+Datos!AJ19))/(Datos!V19+Datos!AJ19))," - ")</f>
        <v>-8.2103912764592682E-2</v>
      </c>
      <c r="H19" s="364">
        <f>IF(ISNUMBER((Datos!M19-Datos!W19)/Datos!W19),(Datos!M19-Datos!W19)/Datos!W19," - ")</f>
        <v>0.29129129129129128</v>
      </c>
      <c r="I19" s="361">
        <f>IF(ISNUMBER((Tasas!C19-Datos!BE19)/Datos!BE19),(Tasas!C19-Datos!BE19)/Datos!BE19," - ")</f>
        <v>-0.10752257364188091</v>
      </c>
      <c r="J19" s="362">
        <f>IF(ISNUMBER((Tasas!D19-Datos!BF19)/Datos!BF19),(Tasas!D19-Datos!BF19)/Datos!BF19," - ")</f>
        <v>-0.1834134615384615</v>
      </c>
      <c r="K19" s="363">
        <f>IF(ISNUMBER((Tasas!E19-Datos!BG19)/Datos!BG19),(Tasas!E19-Datos!BG19)/Datos!BG19," - ")</f>
        <v>-4.8823306510933299E-2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3.6627524109897953E-2</v>
      </c>
      <c r="E21" s="277">
        <f t="shared" si="1"/>
        <v>5.5005476085135299E-2</v>
      </c>
      <c r="F21" s="277">
        <f t="shared" si="1"/>
        <v>0.1293985079920055</v>
      </c>
      <c r="G21" s="278">
        <f t="shared" si="1"/>
        <v>0.18248053136474382</v>
      </c>
      <c r="H21" s="284">
        <f t="shared" si="1"/>
        <v>0.34903003180081621</v>
      </c>
      <c r="I21" s="276">
        <f t="shared" si="1"/>
        <v>0.25568161999687411</v>
      </c>
      <c r="J21" s="277">
        <f t="shared" si="1"/>
        <v>0.29827959298552481</v>
      </c>
      <c r="K21" s="278">
        <f t="shared" si="1"/>
        <v>0.12910748620011878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EOStZvY1xHC9Y3i6V9bvURpKAAaTauP4/NCw0UY/OFOfOYpE7CEe6Ly6HUq8rVhbOWG6ejCHh0RbsdTR5+fag==" saltValue="7w9uylo4ANHejhG4UWoH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